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xTAQcCOkyhlihSfuPfKJgbXZn-u9OxfZ\03 Solar Cooling Engineering\03 Trainings\00 Trainings Materials\01 Design Tools\2024 New design tools\Protected version\"/>
    </mc:Choice>
  </mc:AlternateContent>
  <xr:revisionPtr revIDLastSave="0" documentId="13_ncr:1_{C62FB5FB-BC18-4509-A54E-69955B716473}" xr6:coauthVersionLast="47" xr6:coauthVersionMax="47" xr10:uidLastSave="{00000000-0000-0000-0000-000000000000}"/>
  <workbookProtection workbookAlgorithmName="SHA-512" workbookHashValue="QrPYsb9pt689gjM5LveYosKYT1r/MllMVj3cIEWhszARPsuOuSDQKLhUwbEM9XuVNZKRIJFlMhvjH3JrNhf+KA==" workbookSaltValue="Vu/qcuCk9mYJbWtVwiWCFA==" workbookSpinCount="100000" lockStructure="1"/>
  <bookViews>
    <workbookView xWindow="-120" yWindow="-120" windowWidth="29040" windowHeight="15720" xr2:uid="{00000000-000D-0000-FFFF-FFFF00000000}"/>
  </bookViews>
  <sheets>
    <sheet name="READ ME" sheetId="1" r:id="rId1"/>
    <sheet name="1 Geographic Data" sheetId="2" r:id="rId2"/>
    <sheet name="2 Input" sheetId="3" r:id="rId3"/>
    <sheet name="3 Cooling Curve" sheetId="4" state="hidden" r:id="rId4"/>
    <sheet name="3 Technical Design Output" sheetId="5" r:id="rId5"/>
    <sheet name="Calculation Sheet" sheetId="6" state="hidden" r:id="rId6"/>
    <sheet name="4 Cost" sheetId="10" r:id="rId7"/>
    <sheet name="5 Weather Data" sheetId="7" r:id="rId8"/>
    <sheet name="Translation" sheetId="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7X6Wq/Gys/PYM5V2parCY7OaM5uvcNzDRuMV3epXDR8="/>
    </ext>
  </extLst>
</workbook>
</file>

<file path=xl/calcChain.xml><?xml version="1.0" encoding="utf-8"?>
<calcChain xmlns="http://schemas.openxmlformats.org/spreadsheetml/2006/main">
  <c r="M16" i="6" l="1"/>
  <c r="L16" i="6"/>
  <c r="K16" i="6"/>
  <c r="J16" i="6"/>
  <c r="J18" i="6" s="1"/>
  <c r="J23" i="6" s="1"/>
  <c r="I16" i="6"/>
  <c r="I18" i="6" s="1"/>
  <c r="I23" i="6" s="1"/>
  <c r="H16" i="6"/>
  <c r="H18" i="6" s="1"/>
  <c r="H23" i="6" s="1"/>
  <c r="G16" i="6"/>
  <c r="G18" i="6" s="1"/>
  <c r="G23" i="6" s="1"/>
  <c r="F16" i="6"/>
  <c r="F18" i="6" s="1"/>
  <c r="F23" i="6" s="1"/>
  <c r="E16" i="6"/>
  <c r="D16" i="6"/>
  <c r="C16" i="6"/>
  <c r="B16" i="6"/>
  <c r="G19" i="6"/>
  <c r="F19" i="6"/>
  <c r="M15" i="6"/>
  <c r="L15" i="6"/>
  <c r="K15" i="6"/>
  <c r="J14" i="6"/>
  <c r="I14" i="6"/>
  <c r="H14" i="6"/>
  <c r="G6" i="6"/>
  <c r="F14" i="6"/>
  <c r="E15" i="6"/>
  <c r="D15" i="6"/>
  <c r="C15" i="6"/>
  <c r="B15" i="6"/>
  <c r="D57" i="1"/>
  <c r="E68" i="6"/>
  <c r="E67" i="6"/>
  <c r="M19" i="6" l="1"/>
  <c r="E19" i="6"/>
  <c r="D19" i="6"/>
  <c r="L19" i="6"/>
  <c r="F11" i="6"/>
  <c r="F15" i="6"/>
  <c r="G11" i="6"/>
  <c r="B19" i="6"/>
  <c r="C19" i="6"/>
  <c r="K19" i="6"/>
  <c r="J6" i="6"/>
  <c r="B14" i="6"/>
  <c r="C6" i="6"/>
  <c r="G15" i="6"/>
  <c r="C18" i="6"/>
  <c r="C23" i="6" s="1"/>
  <c r="D6" i="6"/>
  <c r="L6" i="6"/>
  <c r="H11" i="6"/>
  <c r="D14" i="6"/>
  <c r="L14" i="6"/>
  <c r="H15" i="6"/>
  <c r="D18" i="6"/>
  <c r="D23" i="6" s="1"/>
  <c r="L18" i="6"/>
  <c r="L23" i="6" s="1"/>
  <c r="H19" i="6"/>
  <c r="B6" i="6"/>
  <c r="C14" i="6"/>
  <c r="E6" i="6"/>
  <c r="M6" i="6"/>
  <c r="I11" i="6"/>
  <c r="E14" i="6"/>
  <c r="M14" i="6"/>
  <c r="I15" i="6"/>
  <c r="E18" i="6"/>
  <c r="E23" i="6" s="1"/>
  <c r="M18" i="6"/>
  <c r="M23" i="6" s="1"/>
  <c r="I19" i="6"/>
  <c r="B18" i="6"/>
  <c r="B23" i="6" s="1"/>
  <c r="K6" i="6"/>
  <c r="K14" i="6"/>
  <c r="K18" i="6"/>
  <c r="K23" i="6" s="1"/>
  <c r="F6" i="6"/>
  <c r="B11" i="6"/>
  <c r="J11" i="6"/>
  <c r="J15" i="6"/>
  <c r="J19" i="6"/>
  <c r="C11" i="6"/>
  <c r="K11" i="6"/>
  <c r="G14" i="6"/>
  <c r="H6" i="6"/>
  <c r="D11" i="6"/>
  <c r="L11" i="6"/>
  <c r="I6" i="6"/>
  <c r="E11" i="6"/>
  <c r="M11" i="6"/>
  <c r="C2" i="8"/>
  <c r="C3" i="8" s="1"/>
  <c r="N57" i="7"/>
  <c r="M57" i="7"/>
  <c r="L57" i="7"/>
  <c r="K57" i="7"/>
  <c r="J57" i="7"/>
  <c r="I57" i="7"/>
  <c r="H57" i="7"/>
  <c r="G57" i="7"/>
  <c r="F57" i="7"/>
  <c r="E57" i="7"/>
  <c r="D57" i="7"/>
  <c r="C57" i="7"/>
  <c r="N52" i="7"/>
  <c r="M52" i="7"/>
  <c r="L52" i="7"/>
  <c r="K52" i="7"/>
  <c r="J52" i="7"/>
  <c r="I52" i="7"/>
  <c r="H52" i="7"/>
  <c r="G52" i="7"/>
  <c r="F52" i="7"/>
  <c r="E52" i="7"/>
  <c r="D52" i="7"/>
  <c r="C52" i="7"/>
  <c r="N47" i="7"/>
  <c r="M47" i="7"/>
  <c r="L47" i="7"/>
  <c r="K47" i="7"/>
  <c r="J47" i="7"/>
  <c r="I47" i="7"/>
  <c r="H47" i="7"/>
  <c r="G47" i="7"/>
  <c r="F47" i="7"/>
  <c r="E47" i="7"/>
  <c r="D47" i="7"/>
  <c r="C47" i="7"/>
  <c r="N42" i="7"/>
  <c r="M42" i="7"/>
  <c r="L42" i="7"/>
  <c r="K42" i="7"/>
  <c r="J42" i="7"/>
  <c r="I42" i="7"/>
  <c r="H42" i="7"/>
  <c r="G42" i="7"/>
  <c r="F42" i="7"/>
  <c r="E42" i="7"/>
  <c r="D42" i="7"/>
  <c r="C42" i="7"/>
  <c r="N37" i="7"/>
  <c r="M37" i="7"/>
  <c r="L37" i="7"/>
  <c r="K37" i="7"/>
  <c r="J37" i="7"/>
  <c r="I37" i="7"/>
  <c r="H37" i="7"/>
  <c r="G37" i="7"/>
  <c r="F37" i="7"/>
  <c r="E37" i="7"/>
  <c r="D37" i="7"/>
  <c r="C37" i="7"/>
  <c r="S27" i="7"/>
  <c r="S25" i="7"/>
  <c r="S24" i="7"/>
  <c r="S23" i="7"/>
  <c r="S22" i="7"/>
  <c r="S20" i="7"/>
  <c r="S19" i="7"/>
  <c r="S18" i="7"/>
  <c r="S17" i="7"/>
  <c r="N17" i="7"/>
  <c r="M17" i="7"/>
  <c r="L17" i="7"/>
  <c r="K17" i="7"/>
  <c r="J17" i="7"/>
  <c r="I17" i="7"/>
  <c r="H17" i="7"/>
  <c r="G17" i="7"/>
  <c r="F17" i="7"/>
  <c r="E17" i="7"/>
  <c r="D17" i="7"/>
  <c r="C17" i="7"/>
  <c r="S15" i="7"/>
  <c r="S13" i="7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E169" i="6"/>
  <c r="E168" i="6"/>
  <c r="E167" i="6"/>
  <c r="E166" i="6"/>
  <c r="E164" i="6"/>
  <c r="E150" i="6"/>
  <c r="E149" i="6"/>
  <c r="E148" i="6"/>
  <c r="B154" i="6" s="1"/>
  <c r="K147" i="6"/>
  <c r="E147" i="6"/>
  <c r="B172" i="6" s="1"/>
  <c r="E146" i="6"/>
  <c r="E145" i="6"/>
  <c r="E143" i="6"/>
  <c r="E142" i="6"/>
  <c r="N143" i="6" s="1"/>
  <c r="C175" i="6" s="1"/>
  <c r="AC119" i="6"/>
  <c r="O95" i="6"/>
  <c r="D95" i="6"/>
  <c r="AC91" i="6"/>
  <c r="E86" i="6"/>
  <c r="E85" i="6"/>
  <c r="E84" i="6"/>
  <c r="K76" i="6" s="1"/>
  <c r="F83" i="6"/>
  <c r="E83" i="6"/>
  <c r="E82" i="6"/>
  <c r="V82" i="6" s="1"/>
  <c r="D125" i="6" s="1"/>
  <c r="V81" i="6"/>
  <c r="C124" i="6" s="1"/>
  <c r="P81" i="6"/>
  <c r="C97" i="6" s="1"/>
  <c r="E81" i="6"/>
  <c r="E80" i="6"/>
  <c r="V80" i="6" s="1"/>
  <c r="AA123" i="6" s="1"/>
  <c r="E79" i="6"/>
  <c r="E78" i="6"/>
  <c r="P78" i="6" s="1"/>
  <c r="N95" i="6" s="1"/>
  <c r="E77" i="6"/>
  <c r="V76" i="6"/>
  <c r="Q122" i="6" s="1"/>
  <c r="P76" i="6"/>
  <c r="H94" i="6" s="1"/>
  <c r="L76" i="6"/>
  <c r="E76" i="6"/>
  <c r="F75" i="6"/>
  <c r="E75" i="6"/>
  <c r="E74" i="6"/>
  <c r="C137" i="6" s="1"/>
  <c r="E66" i="6"/>
  <c r="G66" i="6" s="1"/>
  <c r="E65" i="6"/>
  <c r="G65" i="6" s="1"/>
  <c r="E59" i="6"/>
  <c r="E60" i="6" s="1"/>
  <c r="A59" i="6"/>
  <c r="E58" i="6"/>
  <c r="A58" i="6"/>
  <c r="E56" i="6"/>
  <c r="E55" i="6"/>
  <c r="E54" i="6"/>
  <c r="E43" i="6"/>
  <c r="E40" i="6"/>
  <c r="E47" i="6" s="1"/>
  <c r="A40" i="6"/>
  <c r="E39" i="6"/>
  <c r="E31" i="6"/>
  <c r="E32" i="6" s="1"/>
  <c r="E30" i="6"/>
  <c r="E29" i="6"/>
  <c r="E28" i="6"/>
  <c r="H43" i="3"/>
  <c r="H42" i="3"/>
  <c r="H40" i="3"/>
  <c r="H38" i="3"/>
  <c r="Q37" i="3"/>
  <c r="Q35" i="3"/>
  <c r="G25" i="3"/>
  <c r="E61" i="6" s="1"/>
  <c r="I9" i="6" l="1"/>
  <c r="M8" i="6"/>
  <c r="E8" i="6"/>
  <c r="H9" i="6"/>
  <c r="L8" i="6"/>
  <c r="G9" i="6"/>
  <c r="K8" i="6"/>
  <c r="C8" i="6"/>
  <c r="G7" i="6"/>
  <c r="G12" i="6" s="1"/>
  <c r="G10" i="6" s="1"/>
  <c r="D8" i="6"/>
  <c r="F9" i="6"/>
  <c r="J8" i="6"/>
  <c r="B8" i="6"/>
  <c r="F7" i="6"/>
  <c r="F12" i="6" s="1"/>
  <c r="D7" i="6"/>
  <c r="D12" i="6" s="1"/>
  <c r="D10" i="6" s="1"/>
  <c r="K7" i="6"/>
  <c r="K12" i="6" s="1"/>
  <c r="C7" i="6"/>
  <c r="C12" i="6" s="1"/>
  <c r="J7" i="6"/>
  <c r="J12" i="6" s="1"/>
  <c r="B7" i="6"/>
  <c r="B12" i="6" s="1"/>
  <c r="B10" i="6" s="1"/>
  <c r="I7" i="6"/>
  <c r="I12" i="6" s="1"/>
  <c r="H7" i="6"/>
  <c r="H12" i="6" s="1"/>
  <c r="M9" i="6"/>
  <c r="E9" i="6"/>
  <c r="I8" i="6"/>
  <c r="M7" i="6"/>
  <c r="M12" i="6" s="1"/>
  <c r="E7" i="6"/>
  <c r="E12" i="6" s="1"/>
  <c r="E10" i="6" s="1"/>
  <c r="L7" i="6"/>
  <c r="L12" i="6" s="1"/>
  <c r="L9" i="6"/>
  <c r="D9" i="6"/>
  <c r="H8" i="6"/>
  <c r="K9" i="6"/>
  <c r="C9" i="6"/>
  <c r="G8" i="6"/>
  <c r="J9" i="6"/>
  <c r="B9" i="6"/>
  <c r="F8" i="6"/>
  <c r="O18" i="6"/>
  <c r="P18" i="6" s="1"/>
  <c r="P122" i="6"/>
  <c r="K148" i="6"/>
  <c r="E57" i="6"/>
  <c r="P82" i="6"/>
  <c r="D98" i="6" s="1"/>
  <c r="E95" i="6"/>
  <c r="AB122" i="6"/>
  <c r="B153" i="6"/>
  <c r="B156" i="6" s="1"/>
  <c r="V79" i="6"/>
  <c r="C123" i="6" s="1"/>
  <c r="B171" i="6"/>
  <c r="K75" i="6"/>
  <c r="K77" i="6" s="1"/>
  <c r="O131" i="6" s="1"/>
  <c r="Z105" i="6"/>
  <c r="H89" i="6"/>
  <c r="R94" i="6"/>
  <c r="AA98" i="6"/>
  <c r="F112" i="8"/>
  <c r="E112" i="8"/>
  <c r="F111" i="8"/>
  <c r="E111" i="8"/>
  <c r="F113" i="8"/>
  <c r="E113" i="8"/>
  <c r="AA95" i="6"/>
  <c r="J95" i="6"/>
  <c r="Z95" i="6"/>
  <c r="Q95" i="6"/>
  <c r="I95" i="6"/>
  <c r="W95" i="6"/>
  <c r="L95" i="6"/>
  <c r="V95" i="6"/>
  <c r="K95" i="6"/>
  <c r="U95" i="6"/>
  <c r="S95" i="6"/>
  <c r="G95" i="6"/>
  <c r="P95" i="6"/>
  <c r="F95" i="6"/>
  <c r="Z125" i="6"/>
  <c r="W125" i="6"/>
  <c r="AC125" i="6"/>
  <c r="AB125" i="6"/>
  <c r="Q125" i="6"/>
  <c r="I125" i="6"/>
  <c r="AA125" i="6"/>
  <c r="P125" i="6"/>
  <c r="H125" i="6"/>
  <c r="Y125" i="6"/>
  <c r="O125" i="6"/>
  <c r="G125" i="6"/>
  <c r="X125" i="6"/>
  <c r="K125" i="6"/>
  <c r="V125" i="6"/>
  <c r="J125" i="6"/>
  <c r="U125" i="6"/>
  <c r="F125" i="6"/>
  <c r="S125" i="6"/>
  <c r="E125" i="6"/>
  <c r="R125" i="6"/>
  <c r="N125" i="6"/>
  <c r="V94" i="6"/>
  <c r="L125" i="6"/>
  <c r="M125" i="6"/>
  <c r="W98" i="6"/>
  <c r="N98" i="6"/>
  <c r="F98" i="6"/>
  <c r="V98" i="6"/>
  <c r="M98" i="6"/>
  <c r="E98" i="6"/>
  <c r="Z98" i="6"/>
  <c r="O98" i="6"/>
  <c r="Y98" i="6"/>
  <c r="L98" i="6"/>
  <c r="X98" i="6"/>
  <c r="K98" i="6"/>
  <c r="U98" i="6"/>
  <c r="J98" i="6"/>
  <c r="S98" i="6"/>
  <c r="I98" i="6"/>
  <c r="AC98" i="6"/>
  <c r="R98" i="6"/>
  <c r="H98" i="6"/>
  <c r="B157" i="6"/>
  <c r="O23" i="6"/>
  <c r="P23" i="6" s="1"/>
  <c r="N16" i="6"/>
  <c r="V123" i="6"/>
  <c r="M123" i="6"/>
  <c r="E123" i="6"/>
  <c r="AC123" i="6"/>
  <c r="U123" i="6"/>
  <c r="L123" i="6"/>
  <c r="D123" i="6"/>
  <c r="AB123" i="6"/>
  <c r="S123" i="6"/>
  <c r="K123" i="6"/>
  <c r="Z123" i="6"/>
  <c r="N123" i="6"/>
  <c r="Y123" i="6"/>
  <c r="J123" i="6"/>
  <c r="X123" i="6"/>
  <c r="I123" i="6"/>
  <c r="W123" i="6"/>
  <c r="H123" i="6"/>
  <c r="R123" i="6"/>
  <c r="G123" i="6"/>
  <c r="Q123" i="6"/>
  <c r="F123" i="6"/>
  <c r="Y95" i="6"/>
  <c r="P98" i="6"/>
  <c r="O123" i="6"/>
  <c r="U94" i="6"/>
  <c r="L94" i="6"/>
  <c r="D94" i="6"/>
  <c r="AB94" i="6"/>
  <c r="S94" i="6"/>
  <c r="K94" i="6"/>
  <c r="Q94" i="6"/>
  <c r="G94" i="6"/>
  <c r="AA94" i="6"/>
  <c r="P94" i="6"/>
  <c r="F94" i="6"/>
  <c r="Z94" i="6"/>
  <c r="O94" i="6"/>
  <c r="E94" i="6"/>
  <c r="Y94" i="6"/>
  <c r="N94" i="6"/>
  <c r="X94" i="6"/>
  <c r="M94" i="6"/>
  <c r="W94" i="6"/>
  <c r="J94" i="6"/>
  <c r="I94" i="6"/>
  <c r="AB95" i="6"/>
  <c r="Q98" i="6"/>
  <c r="P123" i="6"/>
  <c r="P127" i="6" s="1"/>
  <c r="L75" i="6"/>
  <c r="X122" i="6"/>
  <c r="O122" i="6"/>
  <c r="O127" i="6" s="1"/>
  <c r="G122" i="6"/>
  <c r="W122" i="6"/>
  <c r="N122" i="6"/>
  <c r="N127" i="6" s="1"/>
  <c r="F122" i="6"/>
  <c r="V122" i="6"/>
  <c r="M122" i="6"/>
  <c r="E122" i="6"/>
  <c r="D122" i="6"/>
  <c r="D127" i="6" s="1"/>
  <c r="R122" i="6"/>
  <c r="P80" i="6"/>
  <c r="H122" i="6"/>
  <c r="S122" i="6"/>
  <c r="F82" i="6"/>
  <c r="F84" i="6"/>
  <c r="I122" i="6"/>
  <c r="I127" i="6" s="1"/>
  <c r="U122" i="6"/>
  <c r="F77" i="6"/>
  <c r="J122" i="6"/>
  <c r="Y122" i="6"/>
  <c r="F79" i="6"/>
  <c r="C109" i="6"/>
  <c r="K122" i="6"/>
  <c r="Z122" i="6"/>
  <c r="L77" i="6"/>
  <c r="F81" i="6"/>
  <c r="C111" i="6"/>
  <c r="L122" i="6"/>
  <c r="L127" i="6" s="1"/>
  <c r="AA122" i="6"/>
  <c r="C135" i="6"/>
  <c r="B142" i="8"/>
  <c r="B134" i="8"/>
  <c r="B126" i="8"/>
  <c r="B118" i="8"/>
  <c r="K194" i="6" s="1"/>
  <c r="G174" i="6" s="1"/>
  <c r="B108" i="8"/>
  <c r="C46" i="3" s="1"/>
  <c r="A84" i="6" s="1"/>
  <c r="B100" i="8"/>
  <c r="C38" i="3" s="1"/>
  <c r="A77" i="6" s="1"/>
  <c r="B92" i="8"/>
  <c r="B84" i="8"/>
  <c r="B76" i="8"/>
  <c r="B68" i="8"/>
  <c r="B60" i="8"/>
  <c r="C8" i="3" s="1"/>
  <c r="B52" i="8"/>
  <c r="C6" i="3" s="1"/>
  <c r="A29" i="6" s="1"/>
  <c r="B44" i="8"/>
  <c r="B36" i="8"/>
  <c r="B28" i="8"/>
  <c r="D56" i="1" s="1"/>
  <c r="B20" i="8"/>
  <c r="B12" i="8"/>
  <c r="D35" i="1" s="1"/>
  <c r="B141" i="8"/>
  <c r="AF125" i="6" s="1"/>
  <c r="B133" i="8"/>
  <c r="B125" i="8"/>
  <c r="B117" i="8"/>
  <c r="P163" i="6" s="1"/>
  <c r="N142" i="6" s="1"/>
  <c r="B107" i="8"/>
  <c r="C45" i="3" s="1"/>
  <c r="A83" i="6" s="1"/>
  <c r="B99" i="8"/>
  <c r="C37" i="3" s="1"/>
  <c r="A76" i="6" s="1"/>
  <c r="B91" i="8"/>
  <c r="B83" i="8"/>
  <c r="B75" i="8"/>
  <c r="B67" i="8"/>
  <c r="B59" i="8"/>
  <c r="H7" i="3" s="1"/>
  <c r="B51" i="8"/>
  <c r="C5" i="3" s="1"/>
  <c r="A28" i="6" s="1"/>
  <c r="B43" i="8"/>
  <c r="B35" i="8"/>
  <c r="B27" i="8"/>
  <c r="B19" i="8"/>
  <c r="D52" i="1" s="1"/>
  <c r="B11" i="8"/>
  <c r="D31" i="1" s="1"/>
  <c r="B140" i="8"/>
  <c r="AF123" i="6" s="1"/>
  <c r="B132" i="8"/>
  <c r="B124" i="8"/>
  <c r="B116" i="8"/>
  <c r="B112" i="8"/>
  <c r="H36" i="3" s="1"/>
  <c r="B106" i="8"/>
  <c r="B98" i="8"/>
  <c r="C36" i="3" s="1"/>
  <c r="A75" i="6" s="1"/>
  <c r="B90" i="8"/>
  <c r="B82" i="8"/>
  <c r="B74" i="8"/>
  <c r="B66" i="8"/>
  <c r="B58" i="8"/>
  <c r="H6" i="3" s="1"/>
  <c r="B50" i="8"/>
  <c r="B42" i="8"/>
  <c r="B34" i="8"/>
  <c r="B26" i="8"/>
  <c r="G52" i="1" s="1"/>
  <c r="B18" i="8"/>
  <c r="D50" i="1" s="1"/>
  <c r="B10" i="8"/>
  <c r="D30" i="1" s="1"/>
  <c r="B139" i="8"/>
  <c r="B131" i="8"/>
  <c r="B123" i="8"/>
  <c r="B115" i="8"/>
  <c r="P161" i="6" s="1"/>
  <c r="B105" i="8"/>
  <c r="C43" i="3" s="1"/>
  <c r="A82" i="6" s="1"/>
  <c r="B97" i="8"/>
  <c r="C35" i="3" s="1"/>
  <c r="A74" i="6" s="1"/>
  <c r="B89" i="8"/>
  <c r="B81" i="8"/>
  <c r="B73" i="8"/>
  <c r="L36" i="3" s="1"/>
  <c r="A68" i="6" s="1"/>
  <c r="B65" i="8"/>
  <c r="J13" i="3" s="1"/>
  <c r="A39" i="6" s="1"/>
  <c r="B57" i="8"/>
  <c r="B49" i="8"/>
  <c r="C3" i="3" s="1"/>
  <c r="B41" i="8"/>
  <c r="B33" i="8"/>
  <c r="B25" i="8"/>
  <c r="G50" i="1" s="1"/>
  <c r="B17" i="8"/>
  <c r="D48" i="1" s="1"/>
  <c r="B9" i="8"/>
  <c r="D26" i="1" s="1"/>
  <c r="B138" i="8"/>
  <c r="B130" i="8"/>
  <c r="B122" i="8"/>
  <c r="B3" i="4" s="1"/>
  <c r="B114" i="8"/>
  <c r="P160" i="6" s="1"/>
  <c r="B104" i="8"/>
  <c r="C42" i="3" s="1"/>
  <c r="A81" i="6" s="1"/>
  <c r="B96" i="8"/>
  <c r="C33" i="3" s="1"/>
  <c r="B88" i="8"/>
  <c r="C24" i="3" s="1"/>
  <c r="B80" i="8"/>
  <c r="B72" i="8"/>
  <c r="L35" i="3" s="1"/>
  <c r="A67" i="6" s="1"/>
  <c r="B64" i="8"/>
  <c r="B56" i="8"/>
  <c r="F7" i="3" s="1"/>
  <c r="B48" i="8"/>
  <c r="B40" i="8"/>
  <c r="B32" i="8"/>
  <c r="B24" i="8"/>
  <c r="G48" i="1" s="1"/>
  <c r="B16" i="8"/>
  <c r="B8" i="8"/>
  <c r="D25" i="1" s="1"/>
  <c r="B137" i="8"/>
  <c r="B129" i="8"/>
  <c r="B121" i="8"/>
  <c r="O5" i="6" s="1"/>
  <c r="B111" i="8"/>
  <c r="H45" i="3" s="1"/>
  <c r="B103" i="8"/>
  <c r="C41" i="3" s="1"/>
  <c r="A80" i="6" s="1"/>
  <c r="B95" i="8"/>
  <c r="C31" i="3" s="1"/>
  <c r="A65" i="6" s="1"/>
  <c r="B87" i="8"/>
  <c r="B79" i="8"/>
  <c r="B71" i="8"/>
  <c r="L34" i="3" s="1"/>
  <c r="B63" i="8"/>
  <c r="B55" i="8"/>
  <c r="F6" i="3" s="1"/>
  <c r="B47" i="8"/>
  <c r="B13" i="2" s="1"/>
  <c r="B39" i="8"/>
  <c r="B31" i="8"/>
  <c r="B23" i="8"/>
  <c r="B15" i="8"/>
  <c r="B7" i="8"/>
  <c r="B136" i="8"/>
  <c r="B128" i="8"/>
  <c r="B120" i="8"/>
  <c r="O2" i="6" s="1"/>
  <c r="B110" i="8"/>
  <c r="C48" i="3" s="1"/>
  <c r="A86" i="6" s="1"/>
  <c r="B102" i="8"/>
  <c r="C40" i="3" s="1"/>
  <c r="A79" i="6" s="1"/>
  <c r="B94" i="8"/>
  <c r="B86" i="8"/>
  <c r="B78" i="8"/>
  <c r="B70" i="8"/>
  <c r="L32" i="3" s="1"/>
  <c r="B62" i="8"/>
  <c r="C10" i="3" s="1"/>
  <c r="B54" i="8"/>
  <c r="F5" i="3" s="1"/>
  <c r="B46" i="8"/>
  <c r="B7" i="2" s="1"/>
  <c r="B38" i="8"/>
  <c r="B30" i="8"/>
  <c r="E3" i="2" s="1"/>
  <c r="B22" i="8"/>
  <c r="B14" i="8"/>
  <c r="D38" i="1" s="1"/>
  <c r="B6" i="8"/>
  <c r="B8" i="1" s="1"/>
  <c r="B135" i="8"/>
  <c r="B127" i="8"/>
  <c r="B119" i="8"/>
  <c r="K195" i="6" s="1"/>
  <c r="B113" i="8"/>
  <c r="H46" i="3" s="1"/>
  <c r="B109" i="8"/>
  <c r="C47" i="3" s="1"/>
  <c r="A85" i="6" s="1"/>
  <c r="B101" i="8"/>
  <c r="C39" i="3" s="1"/>
  <c r="A78" i="6" s="1"/>
  <c r="B93" i="8"/>
  <c r="B85" i="8"/>
  <c r="B77" i="8"/>
  <c r="B69" i="8"/>
  <c r="B61" i="8"/>
  <c r="C9" i="3" s="1"/>
  <c r="B53" i="8"/>
  <c r="C7" i="3" s="1"/>
  <c r="A30" i="6" s="1"/>
  <c r="B45" i="8"/>
  <c r="B15" i="2" s="1"/>
  <c r="B37" i="8"/>
  <c r="B29" i="8"/>
  <c r="B21" i="8"/>
  <c r="G38" i="1" s="1"/>
  <c r="B13" i="8"/>
  <c r="D36" i="1" s="1"/>
  <c r="B5" i="7"/>
  <c r="AC131" i="6" l="1"/>
  <c r="X131" i="6"/>
  <c r="Q131" i="6"/>
  <c r="R105" i="6"/>
  <c r="H105" i="6"/>
  <c r="U105" i="6"/>
  <c r="AA105" i="6"/>
  <c r="F131" i="6"/>
  <c r="Z131" i="6"/>
  <c r="C10" i="6"/>
  <c r="C13" i="6"/>
  <c r="C17" i="6" s="1"/>
  <c r="C21" i="6" s="1"/>
  <c r="Y105" i="6"/>
  <c r="D130" i="6"/>
  <c r="E130" i="6" s="1"/>
  <c r="F130" i="6" s="1"/>
  <c r="G130" i="6" s="1"/>
  <c r="H130" i="6" s="1"/>
  <c r="I130" i="6" s="1"/>
  <c r="J130" i="6" s="1"/>
  <c r="K130" i="6" s="1"/>
  <c r="L130" i="6" s="1"/>
  <c r="M130" i="6" s="1"/>
  <c r="N130" i="6" s="1"/>
  <c r="O130" i="6" s="1"/>
  <c r="P130" i="6" s="1"/>
  <c r="Q130" i="6" s="1"/>
  <c r="R130" i="6" s="1"/>
  <c r="S130" i="6" s="1"/>
  <c r="U130" i="6" s="1"/>
  <c r="V130" i="6" s="1"/>
  <c r="W130" i="6" s="1"/>
  <c r="X130" i="6" s="1"/>
  <c r="Y130" i="6" s="1"/>
  <c r="Z130" i="6" s="1"/>
  <c r="AA130" i="6" s="1"/>
  <c r="AB130" i="6" s="1"/>
  <c r="AC130" i="6" s="1"/>
  <c r="J131" i="6"/>
  <c r="I131" i="6"/>
  <c r="Y131" i="6"/>
  <c r="P105" i="6"/>
  <c r="N105" i="6"/>
  <c r="J105" i="6"/>
  <c r="Q105" i="6"/>
  <c r="W105" i="6"/>
  <c r="D13" i="6"/>
  <c r="D17" i="6" s="1"/>
  <c r="D22" i="6" s="1"/>
  <c r="F10" i="6"/>
  <c r="F13" i="6"/>
  <c r="F17" i="6" s="1"/>
  <c r="H10" i="6"/>
  <c r="H13" i="6"/>
  <c r="H17" i="6" s="1"/>
  <c r="I10" i="6"/>
  <c r="I13" i="6"/>
  <c r="I17" i="6" s="1"/>
  <c r="I20" i="6" s="1"/>
  <c r="L10" i="6"/>
  <c r="L13" i="6"/>
  <c r="L17" i="6" s="1"/>
  <c r="J10" i="6"/>
  <c r="J13" i="6"/>
  <c r="J17" i="6" s="1"/>
  <c r="J22" i="6" s="1"/>
  <c r="M10" i="6"/>
  <c r="M13" i="6"/>
  <c r="M17" i="6" s="1"/>
  <c r="M21" i="6" s="1"/>
  <c r="K10" i="6"/>
  <c r="K13" i="6"/>
  <c r="K17" i="6" s="1"/>
  <c r="K21" i="6" s="1"/>
  <c r="B13" i="6"/>
  <c r="B17" i="6" s="1"/>
  <c r="B22" i="6" s="1"/>
  <c r="K105" i="6"/>
  <c r="AB105" i="6"/>
  <c r="I105" i="6"/>
  <c r="L131" i="6"/>
  <c r="L132" i="6" s="1"/>
  <c r="D131" i="6"/>
  <c r="D132" i="6" s="1"/>
  <c r="X105" i="6"/>
  <c r="H131" i="6"/>
  <c r="D104" i="6"/>
  <c r="E104" i="6" s="1"/>
  <c r="F104" i="6" s="1"/>
  <c r="G104" i="6" s="1"/>
  <c r="H104" i="6" s="1"/>
  <c r="I104" i="6" s="1"/>
  <c r="J104" i="6" s="1"/>
  <c r="K104" i="6" s="1"/>
  <c r="L104" i="6" s="1"/>
  <c r="M104" i="6" s="1"/>
  <c r="N104" i="6" s="1"/>
  <c r="O104" i="6" s="1"/>
  <c r="P104" i="6" s="1"/>
  <c r="Q104" i="6" s="1"/>
  <c r="R104" i="6" s="1"/>
  <c r="S104" i="6" s="1"/>
  <c r="U104" i="6" s="1"/>
  <c r="V104" i="6" s="1"/>
  <c r="W104" i="6" s="1"/>
  <c r="X104" i="6" s="1"/>
  <c r="Y104" i="6" s="1"/>
  <c r="Z104" i="6" s="1"/>
  <c r="AA104" i="6" s="1"/>
  <c r="AB104" i="6" s="1"/>
  <c r="AC104" i="6" s="1"/>
  <c r="W131" i="6"/>
  <c r="E131" i="6"/>
  <c r="E13" i="6"/>
  <c r="E17" i="6" s="1"/>
  <c r="E22" i="6" s="1"/>
  <c r="G13" i="6"/>
  <c r="G17" i="6" s="1"/>
  <c r="G20" i="6" s="1"/>
  <c r="L105" i="6"/>
  <c r="D105" i="6"/>
  <c r="E105" i="6"/>
  <c r="V131" i="6"/>
  <c r="U127" i="6"/>
  <c r="D21" i="6"/>
  <c r="D20" i="6"/>
  <c r="M22" i="6"/>
  <c r="Y127" i="6"/>
  <c r="Q127" i="6"/>
  <c r="AB127" i="6"/>
  <c r="Z127" i="6"/>
  <c r="Z132" i="6" s="1"/>
  <c r="AB98" i="6"/>
  <c r="G98" i="6"/>
  <c r="AA127" i="6"/>
  <c r="P131" i="6"/>
  <c r="P132" i="6" s="1"/>
  <c r="S131" i="6"/>
  <c r="M105" i="6"/>
  <c r="N131" i="6"/>
  <c r="N132" i="6" s="1"/>
  <c r="F194" i="6"/>
  <c r="E165" i="6"/>
  <c r="E9" i="10"/>
  <c r="N9" i="10" s="1"/>
  <c r="B155" i="6"/>
  <c r="J127" i="6"/>
  <c r="J132" i="6" s="1"/>
  <c r="F127" i="6"/>
  <c r="AC105" i="6"/>
  <c r="S105" i="6"/>
  <c r="F105" i="6"/>
  <c r="M131" i="6"/>
  <c r="R131" i="6"/>
  <c r="AA131" i="6"/>
  <c r="AA132" i="6" s="1"/>
  <c r="AB131" i="6"/>
  <c r="V105" i="6"/>
  <c r="G105" i="6"/>
  <c r="G131" i="6"/>
  <c r="U131" i="6"/>
  <c r="K131" i="6"/>
  <c r="O105" i="6"/>
  <c r="Y96" i="6"/>
  <c r="Y100" i="6" s="1"/>
  <c r="P96" i="6"/>
  <c r="P100" i="6" s="1"/>
  <c r="H96" i="6"/>
  <c r="X96" i="6"/>
  <c r="O96" i="6"/>
  <c r="O100" i="6" s="1"/>
  <c r="G96" i="6"/>
  <c r="G100" i="6" s="1"/>
  <c r="S96" i="6"/>
  <c r="S100" i="6" s="1"/>
  <c r="S106" i="6" s="1"/>
  <c r="I96" i="6"/>
  <c r="I100" i="6" s="1"/>
  <c r="I106" i="6" s="1"/>
  <c r="AC96" i="6"/>
  <c r="F96" i="6"/>
  <c r="F100" i="6" s="1"/>
  <c r="AB96" i="6"/>
  <c r="AB100" i="6" s="1"/>
  <c r="Q96" i="6"/>
  <c r="Q100" i="6" s="1"/>
  <c r="E96" i="6"/>
  <c r="E100" i="6" s="1"/>
  <c r="AA96" i="6"/>
  <c r="AA100" i="6" s="1"/>
  <c r="AA106" i="6" s="1"/>
  <c r="N96" i="6"/>
  <c r="N100" i="6" s="1"/>
  <c r="D96" i="6"/>
  <c r="D100" i="6" s="1"/>
  <c r="Z96" i="6"/>
  <c r="Z100" i="6" s="1"/>
  <c r="Z106" i="6" s="1"/>
  <c r="M96" i="6"/>
  <c r="W96" i="6"/>
  <c r="W100" i="6" s="1"/>
  <c r="L96" i="6"/>
  <c r="L100" i="6" s="1"/>
  <c r="V96" i="6"/>
  <c r="V100" i="6" s="1"/>
  <c r="U96" i="6"/>
  <c r="U100" i="6" s="1"/>
  <c r="U106" i="6" s="1"/>
  <c r="K96" i="6"/>
  <c r="K100" i="6" s="1"/>
  <c r="J96" i="6"/>
  <c r="J100" i="6" s="1"/>
  <c r="Q132" i="6"/>
  <c r="F5" i="7"/>
  <c r="F14" i="7" s="1"/>
  <c r="F9" i="2"/>
  <c r="H5" i="7"/>
  <c r="H14" i="7" s="1"/>
  <c r="H9" i="2"/>
  <c r="B6" i="7"/>
  <c r="B15" i="7" s="1"/>
  <c r="B10" i="2"/>
  <c r="K127" i="6"/>
  <c r="W127" i="6"/>
  <c r="W132" i="6" s="1"/>
  <c r="M5" i="7"/>
  <c r="M14" i="7" s="1"/>
  <c r="M9" i="2"/>
  <c r="B7" i="7"/>
  <c r="B17" i="7" s="1"/>
  <c r="B11" i="2"/>
  <c r="R127" i="6"/>
  <c r="G127" i="6"/>
  <c r="G132" i="6" s="1"/>
  <c r="P162" i="6"/>
  <c r="K193" i="6"/>
  <c r="N5" i="7"/>
  <c r="N14" i="7" s="1"/>
  <c r="N9" i="2"/>
  <c r="J5" i="7"/>
  <c r="J14" i="7" s="1"/>
  <c r="J9" i="2"/>
  <c r="C5" i="7"/>
  <c r="C14" i="7" s="1"/>
  <c r="C9" i="2"/>
  <c r="K5" i="7"/>
  <c r="K14" i="7" s="1"/>
  <c r="K9" i="2"/>
  <c r="D5" i="7"/>
  <c r="D14" i="7" s="1"/>
  <c r="D9" i="2"/>
  <c r="I132" i="6"/>
  <c r="G5" i="7"/>
  <c r="G14" i="7" s="1"/>
  <c r="G9" i="2"/>
  <c r="I5" i="7"/>
  <c r="I14" i="7" s="1"/>
  <c r="I9" i="2"/>
  <c r="L5" i="7"/>
  <c r="L14" i="7" s="1"/>
  <c r="L9" i="2"/>
  <c r="H39" i="3"/>
  <c r="H37" i="3"/>
  <c r="H41" i="3"/>
  <c r="E127" i="6"/>
  <c r="X127" i="6"/>
  <c r="X132" i="6" s="1"/>
  <c r="E5" i="7"/>
  <c r="E14" i="7" s="1"/>
  <c r="E9" i="2"/>
  <c r="S127" i="6"/>
  <c r="S132" i="6" s="1"/>
  <c r="M127" i="6"/>
  <c r="O132" i="6"/>
  <c r="H127" i="6"/>
  <c r="V127" i="6"/>
  <c r="Q62" i="6"/>
  <c r="Q63" i="6" s="1"/>
  <c r="AF124" i="6"/>
  <c r="Y132" i="6"/>
  <c r="M132" i="6" l="1"/>
  <c r="F132" i="6"/>
  <c r="C22" i="6"/>
  <c r="J21" i="6"/>
  <c r="F106" i="6"/>
  <c r="P106" i="6"/>
  <c r="J20" i="6"/>
  <c r="M20" i="6"/>
  <c r="E21" i="6"/>
  <c r="Y106" i="6"/>
  <c r="J106" i="6"/>
  <c r="D106" i="6"/>
  <c r="N106" i="6"/>
  <c r="I22" i="6"/>
  <c r="H132" i="6"/>
  <c r="I21" i="6"/>
  <c r="E106" i="6"/>
  <c r="E20" i="6"/>
  <c r="K22" i="6"/>
  <c r="L106" i="6"/>
  <c r="Q106" i="6"/>
  <c r="K20" i="6"/>
  <c r="R132" i="6"/>
  <c r="B20" i="6"/>
  <c r="G22" i="6"/>
  <c r="W106" i="6"/>
  <c r="C20" i="6"/>
  <c r="B21" i="6"/>
  <c r="G21" i="6"/>
  <c r="V132" i="6"/>
  <c r="L21" i="6"/>
  <c r="L20" i="6"/>
  <c r="L22" i="6"/>
  <c r="G106" i="6"/>
  <c r="E132" i="6"/>
  <c r="K106" i="6"/>
  <c r="V106" i="6"/>
  <c r="AB132" i="6"/>
  <c r="H22" i="6"/>
  <c r="H20" i="6"/>
  <c r="H21" i="6"/>
  <c r="AB106" i="6"/>
  <c r="F22" i="6"/>
  <c r="F20" i="6"/>
  <c r="F21" i="6"/>
  <c r="U132" i="6"/>
  <c r="N167" i="6"/>
  <c r="C199" i="6" s="1"/>
  <c r="N145" i="6"/>
  <c r="C177" i="6" s="1"/>
  <c r="N149" i="6"/>
  <c r="C181" i="6" s="1"/>
  <c r="E181" i="6" s="1"/>
  <c r="N148" i="6"/>
  <c r="C180" i="6" s="1"/>
  <c r="N159" i="6"/>
  <c r="C191" i="6" s="1"/>
  <c r="N160" i="6"/>
  <c r="C192" i="6" s="1"/>
  <c r="N165" i="6"/>
  <c r="C197" i="6" s="1"/>
  <c r="N147" i="6"/>
  <c r="C179" i="6" s="1"/>
  <c r="E179" i="6" s="1"/>
  <c r="N162" i="6"/>
  <c r="C194" i="6" s="1"/>
  <c r="E194" i="6" s="1"/>
  <c r="N163" i="6"/>
  <c r="C195" i="6" s="1"/>
  <c r="N156" i="6"/>
  <c r="C188" i="6" s="1"/>
  <c r="E188" i="6" s="1"/>
  <c r="N157" i="6"/>
  <c r="C189" i="6" s="1"/>
  <c r="N158" i="6"/>
  <c r="C190" i="6" s="1"/>
  <c r="E190" i="6" s="1"/>
  <c r="N152" i="6"/>
  <c r="C184" i="6" s="1"/>
  <c r="E184" i="6" s="1"/>
  <c r="N154" i="6"/>
  <c r="C186" i="6" s="1"/>
  <c r="N161" i="6"/>
  <c r="C193" i="6" s="1"/>
  <c r="N166" i="6"/>
  <c r="C198" i="6" s="1"/>
  <c r="N144" i="6"/>
  <c r="C176" i="6" s="1"/>
  <c r="N146" i="6"/>
  <c r="C178" i="6" s="1"/>
  <c r="E178" i="6" s="1"/>
  <c r="N164" i="6"/>
  <c r="C196" i="6" s="1"/>
  <c r="E196" i="6" s="1"/>
  <c r="N150" i="6"/>
  <c r="C182" i="6" s="1"/>
  <c r="N151" i="6"/>
  <c r="C183" i="6" s="1"/>
  <c r="E183" i="6" s="1"/>
  <c r="N153" i="6"/>
  <c r="C185" i="6" s="1"/>
  <c r="E185" i="6" s="1"/>
  <c r="N155" i="6"/>
  <c r="C187" i="6" s="1"/>
  <c r="F178" i="6"/>
  <c r="F193" i="6"/>
  <c r="F176" i="6"/>
  <c r="F191" i="6"/>
  <c r="F183" i="6"/>
  <c r="F184" i="6"/>
  <c r="F198" i="6"/>
  <c r="F190" i="6"/>
  <c r="F195" i="6"/>
  <c r="F185" i="6"/>
  <c r="F199" i="6"/>
  <c r="F197" i="6"/>
  <c r="F189" i="6"/>
  <c r="F182" i="6"/>
  <c r="F180" i="6"/>
  <c r="F188" i="6"/>
  <c r="F181" i="6"/>
  <c r="F177" i="6"/>
  <c r="F196" i="6"/>
  <c r="F179" i="6"/>
  <c r="F175" i="6"/>
  <c r="F187" i="6"/>
  <c r="F192" i="6"/>
  <c r="F186" i="6"/>
  <c r="K132" i="6"/>
  <c r="O106" i="6"/>
  <c r="I24" i="7"/>
  <c r="I54" i="7"/>
  <c r="I34" i="7"/>
  <c r="I19" i="7"/>
  <c r="I49" i="7"/>
  <c r="I44" i="7"/>
  <c r="I59" i="7"/>
  <c r="I29" i="7"/>
  <c r="I39" i="7"/>
  <c r="N44" i="7"/>
  <c r="N59" i="7"/>
  <c r="N39" i="7"/>
  <c r="N29" i="7"/>
  <c r="N24" i="7"/>
  <c r="N54" i="7"/>
  <c r="N34" i="7"/>
  <c r="N19" i="7"/>
  <c r="N49" i="7"/>
  <c r="K19" i="7"/>
  <c r="K49" i="7"/>
  <c r="K44" i="7"/>
  <c r="K59" i="7"/>
  <c r="K39" i="7"/>
  <c r="K29" i="7"/>
  <c r="K24" i="7"/>
  <c r="K34" i="7"/>
  <c r="K54" i="7"/>
  <c r="B62" i="7"/>
  <c r="B42" i="7"/>
  <c r="B32" i="7"/>
  <c r="D6" i="7" s="1"/>
  <c r="D10" i="2" s="1"/>
  <c r="B22" i="7"/>
  <c r="B57" i="7"/>
  <c r="B37" i="7"/>
  <c r="B52" i="7"/>
  <c r="B47" i="7"/>
  <c r="B27" i="7"/>
  <c r="G59" i="7"/>
  <c r="G39" i="7"/>
  <c r="G29" i="7"/>
  <c r="G24" i="7"/>
  <c r="G54" i="7"/>
  <c r="G34" i="7"/>
  <c r="G19" i="7"/>
  <c r="G49" i="7"/>
  <c r="G44" i="7"/>
  <c r="D49" i="7"/>
  <c r="D44" i="7"/>
  <c r="D59" i="7"/>
  <c r="D39" i="7"/>
  <c r="D29" i="7"/>
  <c r="D24" i="7"/>
  <c r="D54" i="7"/>
  <c r="D34" i="7"/>
  <c r="D19" i="7"/>
  <c r="C19" i="7"/>
  <c r="C49" i="7"/>
  <c r="C44" i="7"/>
  <c r="C59" i="7"/>
  <c r="C39" i="7"/>
  <c r="C29" i="7"/>
  <c r="C24" i="7"/>
  <c r="C34" i="7"/>
  <c r="C54" i="7"/>
  <c r="M44" i="7"/>
  <c r="M59" i="7"/>
  <c r="M39" i="7"/>
  <c r="M29" i="7"/>
  <c r="M24" i="7"/>
  <c r="M54" i="7"/>
  <c r="M34" i="7"/>
  <c r="M19" i="7"/>
  <c r="M49" i="7"/>
  <c r="B60" i="7"/>
  <c r="B40" i="7"/>
  <c r="B30" i="7"/>
  <c r="B25" i="7"/>
  <c r="B55" i="7"/>
  <c r="B35" i="7"/>
  <c r="B20" i="7"/>
  <c r="I7" i="7" s="1"/>
  <c r="I11" i="2" s="1"/>
  <c r="B50" i="7"/>
  <c r="K6" i="7"/>
  <c r="K10" i="2" s="1"/>
  <c r="B45" i="7"/>
  <c r="L6" i="7"/>
  <c r="L10" i="2" s="1"/>
  <c r="C7" i="7"/>
  <c r="C11" i="2" s="1"/>
  <c r="E44" i="7"/>
  <c r="E59" i="7"/>
  <c r="E39" i="7"/>
  <c r="E29" i="7"/>
  <c r="E24" i="7"/>
  <c r="E54" i="7"/>
  <c r="E34" i="7"/>
  <c r="E19" i="7"/>
  <c r="E49" i="7"/>
  <c r="F44" i="7"/>
  <c r="F59" i="7"/>
  <c r="F39" i="7"/>
  <c r="F29" i="7"/>
  <c r="F24" i="7"/>
  <c r="F54" i="7"/>
  <c r="F34" i="7"/>
  <c r="F19" i="7"/>
  <c r="F49" i="7"/>
  <c r="J54" i="7"/>
  <c r="J34" i="7"/>
  <c r="J19" i="7"/>
  <c r="J49" i="7"/>
  <c r="J44" i="7"/>
  <c r="J59" i="7"/>
  <c r="J39" i="7"/>
  <c r="J29" i="7"/>
  <c r="J24" i="7"/>
  <c r="H59" i="7"/>
  <c r="H39" i="7"/>
  <c r="H29" i="7"/>
  <c r="H24" i="7"/>
  <c r="H54" i="7"/>
  <c r="H34" i="7"/>
  <c r="H19" i="7"/>
  <c r="H49" i="7"/>
  <c r="H44" i="7"/>
  <c r="L49" i="7"/>
  <c r="L44" i="7"/>
  <c r="L59" i="7"/>
  <c r="L39" i="7"/>
  <c r="L29" i="7"/>
  <c r="L24" i="7"/>
  <c r="L54" i="7"/>
  <c r="L34" i="7"/>
  <c r="L19" i="7"/>
  <c r="E187" i="6" l="1"/>
  <c r="E193" i="6"/>
  <c r="E186" i="6"/>
  <c r="E197" i="6"/>
  <c r="E192" i="6"/>
  <c r="E182" i="6"/>
  <c r="E191" i="6"/>
  <c r="E198" i="6"/>
  <c r="E189" i="6"/>
  <c r="E180" i="6"/>
  <c r="E176" i="6"/>
  <c r="E175" i="6"/>
  <c r="G176" i="6" s="1"/>
  <c r="E195" i="6"/>
  <c r="E177" i="6"/>
  <c r="J6" i="7"/>
  <c r="J10" i="2" s="1"/>
  <c r="G6" i="7"/>
  <c r="G10" i="2" s="1"/>
  <c r="I6" i="7"/>
  <c r="I10" i="2" s="1"/>
  <c r="K7" i="7"/>
  <c r="K11" i="2" s="1"/>
  <c r="J7" i="7"/>
  <c r="J11" i="2" s="1"/>
  <c r="M7" i="7"/>
  <c r="M11" i="2" s="1"/>
  <c r="G7" i="7"/>
  <c r="G11" i="2" s="1"/>
  <c r="L7" i="7"/>
  <c r="L11" i="2" s="1"/>
  <c r="D7" i="7"/>
  <c r="D11" i="2" s="1"/>
  <c r="E7" i="7"/>
  <c r="E11" i="2" s="1"/>
  <c r="F7" i="7"/>
  <c r="F11" i="2" s="1"/>
  <c r="M6" i="7"/>
  <c r="M10" i="2" s="1"/>
  <c r="N7" i="7"/>
  <c r="N11" i="2" s="1"/>
  <c r="F6" i="7"/>
  <c r="F10" i="2" s="1"/>
  <c r="E6" i="7"/>
  <c r="E10" i="2" s="1"/>
  <c r="C6" i="7"/>
  <c r="C10" i="2" s="1"/>
  <c r="N6" i="7"/>
  <c r="N10" i="2" s="1"/>
  <c r="H7" i="7"/>
  <c r="H11" i="2" s="1"/>
  <c r="H6" i="7"/>
  <c r="H10" i="2" s="1"/>
  <c r="G177" i="6" l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O19" i="6"/>
  <c r="P19" i="6" s="1"/>
  <c r="V75" i="6" s="1"/>
  <c r="C122" i="6" s="1"/>
  <c r="B135" i="6" s="1"/>
  <c r="E46" i="6"/>
  <c r="E49" i="6" s="1"/>
  <c r="AC122" i="6" l="1"/>
  <c r="AC127" i="6" s="1"/>
  <c r="AC132" i="6" s="1"/>
  <c r="C127" i="6"/>
  <c r="I128" i="6" s="1"/>
  <c r="P4" i="6"/>
  <c r="N6" i="6"/>
  <c r="P7" i="6"/>
  <c r="N15" i="6"/>
  <c r="N14" i="6"/>
  <c r="N12" i="6"/>
  <c r="S128" i="6" l="1"/>
  <c r="C128" i="6"/>
  <c r="C132" i="6" s="1"/>
  <c r="C133" i="6" s="1"/>
  <c r="D133" i="6" s="1"/>
  <c r="Z128" i="6"/>
  <c r="Y128" i="6"/>
  <c r="D128" i="6"/>
  <c r="U128" i="6"/>
  <c r="V128" i="6"/>
  <c r="L128" i="6"/>
  <c r="J128" i="6"/>
  <c r="E128" i="6"/>
  <c r="W128" i="6"/>
  <c r="K128" i="6"/>
  <c r="AA128" i="6"/>
  <c r="AC128" i="6"/>
  <c r="AB128" i="6"/>
  <c r="F128" i="6"/>
  <c r="P128" i="6"/>
  <c r="H128" i="6"/>
  <c r="G128" i="6"/>
  <c r="M128" i="6"/>
  <c r="R128" i="6"/>
  <c r="N128" i="6"/>
  <c r="O128" i="6"/>
  <c r="Q128" i="6"/>
  <c r="X128" i="6"/>
  <c r="E42" i="6"/>
  <c r="E7" i="5"/>
  <c r="B137" i="6" a="1"/>
  <c r="N13" i="6"/>
  <c r="B138" i="6" l="1"/>
  <c r="B137" i="6"/>
  <c r="E133" i="6"/>
  <c r="O21" i="6"/>
  <c r="P21" i="6" s="1"/>
  <c r="O22" i="6"/>
  <c r="P22" i="6" s="1"/>
  <c r="N17" i="6"/>
  <c r="E10" i="5" s="1"/>
  <c r="E9" i="5" s="1"/>
  <c r="E8" i="5" s="1"/>
  <c r="O20" i="6"/>
  <c r="P20" i="6" s="1"/>
  <c r="E6" i="5"/>
  <c r="Q22" i="6" l="1"/>
  <c r="P77" i="6"/>
  <c r="C95" i="6" s="1"/>
  <c r="P79" i="6"/>
  <c r="C96" i="6" s="1"/>
  <c r="R96" i="6" s="1"/>
  <c r="T22" i="6"/>
  <c r="E44" i="6"/>
  <c r="F16" i="5" s="1"/>
  <c r="M16" i="5" s="1"/>
  <c r="F133" i="6"/>
  <c r="D119" i="6"/>
  <c r="S22" i="6"/>
  <c r="P75" i="6"/>
  <c r="C94" i="6" s="1"/>
  <c r="C16" i="5"/>
  <c r="D134" i="6"/>
  <c r="E10" i="10" l="1"/>
  <c r="N10" i="10" s="1"/>
  <c r="E8" i="10"/>
  <c r="N8" i="10" s="1"/>
  <c r="E11" i="5"/>
  <c r="E6" i="10"/>
  <c r="N6" i="10" s="1"/>
  <c r="G133" i="6"/>
  <c r="F134" i="6" s="1"/>
  <c r="E119" i="6"/>
  <c r="E134" i="6"/>
  <c r="R22" i="6"/>
  <c r="I16" i="5"/>
  <c r="E7" i="10" s="1"/>
  <c r="N7" i="10" s="1"/>
  <c r="U22" i="6"/>
  <c r="Q25" i="6"/>
  <c r="C100" i="6"/>
  <c r="B109" i="6"/>
  <c r="AC94" i="6"/>
  <c r="AC95" i="6"/>
  <c r="R95" i="6"/>
  <c r="R100" i="6" s="1"/>
  <c r="R106" i="6" s="1"/>
  <c r="H95" i="6"/>
  <c r="H100" i="6" s="1"/>
  <c r="H106" i="6" s="1"/>
  <c r="X95" i="6"/>
  <c r="X100" i="6" s="1"/>
  <c r="X106" i="6" s="1"/>
  <c r="M95" i="6"/>
  <c r="M100" i="6" s="1"/>
  <c r="M106" i="6" s="1"/>
  <c r="N12" i="10" l="1"/>
  <c r="AC100" i="6"/>
  <c r="AC106" i="6" s="1"/>
  <c r="AA101" i="6"/>
  <c r="AA102" i="6" s="1"/>
  <c r="R101" i="6"/>
  <c r="R102" i="6" s="1"/>
  <c r="J101" i="6"/>
  <c r="J102" i="6" s="1"/>
  <c r="Z101" i="6"/>
  <c r="Z102" i="6" s="1"/>
  <c r="Q101" i="6"/>
  <c r="Q102" i="6" s="1"/>
  <c r="I101" i="6"/>
  <c r="I102" i="6" s="1"/>
  <c r="AB101" i="6"/>
  <c r="AB102" i="6" s="1"/>
  <c r="O101" i="6"/>
  <c r="O102" i="6" s="1"/>
  <c r="E101" i="6"/>
  <c r="E102" i="6" s="1"/>
  <c r="Y101" i="6"/>
  <c r="Y102" i="6" s="1"/>
  <c r="N101" i="6"/>
  <c r="N102" i="6" s="1"/>
  <c r="D101" i="6"/>
  <c r="D102" i="6" s="1"/>
  <c r="X101" i="6"/>
  <c r="X102" i="6" s="1"/>
  <c r="M101" i="6"/>
  <c r="M102" i="6" s="1"/>
  <c r="C101" i="6"/>
  <c r="W101" i="6"/>
  <c r="W102" i="6" s="1"/>
  <c r="L101" i="6"/>
  <c r="L102" i="6" s="1"/>
  <c r="V101" i="6"/>
  <c r="V102" i="6" s="1"/>
  <c r="K101" i="6"/>
  <c r="K102" i="6" s="1"/>
  <c r="U101" i="6"/>
  <c r="U102" i="6" s="1"/>
  <c r="H101" i="6"/>
  <c r="H102" i="6" s="1"/>
  <c r="G101" i="6"/>
  <c r="G102" i="6" s="1"/>
  <c r="F101" i="6"/>
  <c r="F102" i="6" s="1"/>
  <c r="AC101" i="6"/>
  <c r="AC102" i="6" s="1"/>
  <c r="S101" i="6"/>
  <c r="S102" i="6" s="1"/>
  <c r="P101" i="6"/>
  <c r="P102" i="6" s="1"/>
  <c r="H133" i="6"/>
  <c r="G134" i="6" s="1"/>
  <c r="F119" i="6"/>
  <c r="C106" i="6" l="1"/>
  <c r="C102" i="6"/>
  <c r="I133" i="6"/>
  <c r="G119" i="6"/>
  <c r="B111" i="6" l="1" a="1"/>
  <c r="B111" i="6" s="1"/>
  <c r="C107" i="6"/>
  <c r="B112" i="6"/>
  <c r="H119" i="6"/>
  <c r="J133" i="6"/>
  <c r="I134" i="6" s="1"/>
  <c r="H134" i="6"/>
  <c r="K133" i="6" l="1"/>
  <c r="J134" i="6" s="1"/>
  <c r="I119" i="6"/>
  <c r="D107" i="6"/>
  <c r="E107" i="6" l="1"/>
  <c r="D108" i="6" s="1"/>
  <c r="C108" i="6"/>
  <c r="L133" i="6"/>
  <c r="K134" i="6" s="1"/>
  <c r="J119" i="6"/>
  <c r="M133" i="6" l="1"/>
  <c r="K119" i="6"/>
  <c r="F107" i="6"/>
  <c r="E108" i="6" s="1"/>
  <c r="D91" i="6"/>
  <c r="N133" i="6" l="1"/>
  <c r="L119" i="6"/>
  <c r="E91" i="6"/>
  <c r="G107" i="6"/>
  <c r="L134" i="6"/>
  <c r="F91" i="6" l="1"/>
  <c r="H107" i="6"/>
  <c r="G108" i="6" s="1"/>
  <c r="F108" i="6"/>
  <c r="O133" i="6"/>
  <c r="M119" i="6"/>
  <c r="M134" i="6"/>
  <c r="P133" i="6" l="1"/>
  <c r="N119" i="6"/>
  <c r="N134" i="6"/>
  <c r="I107" i="6"/>
  <c r="G91" i="6"/>
  <c r="J107" i="6" l="1"/>
  <c r="H91" i="6"/>
  <c r="H108" i="6"/>
  <c r="Q133" i="6"/>
  <c r="O119" i="6"/>
  <c r="O134" i="6"/>
  <c r="K107" i="6" l="1"/>
  <c r="J108" i="6" s="1"/>
  <c r="I91" i="6"/>
  <c r="P119" i="6"/>
  <c r="R133" i="6"/>
  <c r="Q134" i="6" s="1"/>
  <c r="P134" i="6"/>
  <c r="I108" i="6"/>
  <c r="S133" i="6" l="1"/>
  <c r="R134" i="6" s="1"/>
  <c r="Q119" i="6"/>
  <c r="J91" i="6"/>
  <c r="L107" i="6"/>
  <c r="K108" i="6" s="1"/>
  <c r="K91" i="6" l="1"/>
  <c r="M107" i="6"/>
  <c r="U133" i="6"/>
  <c r="R119" i="6"/>
  <c r="V133" i="6" l="1"/>
  <c r="S119" i="6"/>
  <c r="N107" i="6"/>
  <c r="L91" i="6"/>
  <c r="S134" i="6"/>
  <c r="L108" i="6"/>
  <c r="M91" i="6" l="1"/>
  <c r="O107" i="6"/>
  <c r="M108" i="6"/>
  <c r="W133" i="6"/>
  <c r="U119" i="6"/>
  <c r="U134" i="6"/>
  <c r="X133" i="6" l="1"/>
  <c r="W134" i="6" s="1"/>
  <c r="V119" i="6"/>
  <c r="V134" i="6"/>
  <c r="N91" i="6"/>
  <c r="P107" i="6"/>
  <c r="O108" i="6" s="1"/>
  <c r="N108" i="6"/>
  <c r="Q107" i="6" l="1"/>
  <c r="P108" i="6" s="1"/>
  <c r="O91" i="6"/>
  <c r="Y133" i="6"/>
  <c r="X134" i="6" s="1"/>
  <c r="W119" i="6"/>
  <c r="B136" i="6"/>
  <c r="Z133" i="6" l="1"/>
  <c r="X119" i="6"/>
  <c r="R107" i="6"/>
  <c r="P91" i="6"/>
  <c r="S107" i="6" l="1"/>
  <c r="R108" i="6" s="1"/>
  <c r="Q91" i="6"/>
  <c r="Q108" i="6"/>
  <c r="AA133" i="6"/>
  <c r="Z134" i="6" s="1"/>
  <c r="Y119" i="6"/>
  <c r="Y134" i="6"/>
  <c r="AB133" i="6" l="1"/>
  <c r="Z119" i="6"/>
  <c r="U107" i="6"/>
  <c r="R91" i="6"/>
  <c r="V107" i="6" l="1"/>
  <c r="S91" i="6"/>
  <c r="AA119" i="6"/>
  <c r="AC133" i="6"/>
  <c r="S108" i="6"/>
  <c r="AA134" i="6"/>
  <c r="AB119" i="6" l="1"/>
  <c r="AC134" i="6"/>
  <c r="AB134" i="6"/>
  <c r="U91" i="6"/>
  <c r="W107" i="6"/>
  <c r="V108" i="6" s="1"/>
  <c r="U108" i="6"/>
  <c r="V91" i="6" l="1"/>
  <c r="X107" i="6"/>
  <c r="W108" i="6" s="1"/>
  <c r="W91" i="6" l="1"/>
  <c r="B110" i="6"/>
  <c r="Y107" i="6"/>
  <c r="Z107" i="6" l="1"/>
  <c r="X91" i="6"/>
  <c r="X108" i="6"/>
  <c r="AA107" i="6" l="1"/>
  <c r="Y91" i="6"/>
  <c r="Y108" i="6"/>
  <c r="AB107" i="6" l="1"/>
  <c r="Z91" i="6"/>
  <c r="Z108" i="6"/>
  <c r="AC107" i="6" l="1"/>
  <c r="AB108" i="6" s="1"/>
  <c r="AA91" i="6"/>
  <c r="AA108" i="6"/>
  <c r="AC108" i="6" l="1"/>
  <c r="AB91" i="6"/>
</calcChain>
</file>

<file path=xl/sharedStrings.xml><?xml version="1.0" encoding="utf-8"?>
<sst xmlns="http://schemas.openxmlformats.org/spreadsheetml/2006/main" count="662" uniqueCount="482">
  <si>
    <t>Language</t>
  </si>
  <si>
    <t>English</t>
  </si>
  <si>
    <t>For selecting basic site information: ambient temperature and solar radiation</t>
  </si>
  <si>
    <t>3.Technical Design Output</t>
  </si>
  <si>
    <t>System configuration based on your inputs</t>
  </si>
  <si>
    <t>An estimated cost of the system</t>
  </si>
  <si>
    <t>5.Weather Data</t>
  </si>
  <si>
    <t>For adding weather data of your own location if not already there</t>
  </si>
  <si>
    <t>www.solar-cooling-engineering.com</t>
  </si>
  <si>
    <t>© Solar Cooling Engineering GmbH, Germany - 2024</t>
  </si>
  <si>
    <t>Accra,Ghana</t>
  </si>
  <si>
    <t>https://re.jrc.ec.europa.eu/pvg_tools/en/</t>
  </si>
  <si>
    <t>kg/day</t>
  </si>
  <si>
    <t>r =</t>
  </si>
  <si>
    <t>m</t>
  </si>
  <si>
    <t>δ =</t>
  </si>
  <si>
    <t>kg/m³</t>
  </si>
  <si>
    <t>h =</t>
  </si>
  <si>
    <t>W/m²K</t>
  </si>
  <si>
    <t>Temperature information</t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</si>
  <si>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 =</t>
    </r>
  </si>
  <si>
    <t>°C</t>
  </si>
  <si>
    <t>Cold/Freezing Room Set Point</t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</si>
  <si>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m</t>
    </r>
    <r>
      <rPr>
        <sz val="11"/>
        <color theme="1"/>
        <rFont val="Calibri"/>
        <family val="2"/>
      </rPr>
      <t xml:space="preserve"> =</t>
    </r>
  </si>
  <si>
    <t>Refrigeration Unit</t>
  </si>
  <si>
    <t>Watts</t>
  </si>
  <si>
    <t>Rated Electrical Power</t>
  </si>
  <si>
    <r>
      <rPr>
        <b/>
        <sz val="11"/>
        <color theme="1"/>
        <rFont val="Calibri"/>
        <family val="2"/>
      </rPr>
      <t>m</t>
    </r>
    <r>
      <rPr>
        <b/>
        <vertAlign val="superscript"/>
        <sz val="11"/>
        <color theme="1"/>
        <rFont val="Calibri"/>
        <family val="2"/>
      </rPr>
      <t>3</t>
    </r>
  </si>
  <si>
    <r>
      <rPr>
        <sz val="11"/>
        <color theme="1"/>
        <rFont val="Calibri"/>
        <family val="2"/>
      </rPr>
      <t>m</t>
    </r>
    <r>
      <rPr>
        <vertAlign val="superscript"/>
        <sz val="11"/>
        <color theme="1"/>
        <rFont val="Calibri"/>
        <family val="2"/>
      </rPr>
      <t>3</t>
    </r>
  </si>
  <si>
    <t>Inner length of the cold room (m)</t>
  </si>
  <si>
    <t>x =</t>
  </si>
  <si>
    <t>Inner width of the cold room (m)</t>
  </si>
  <si>
    <t>y =</t>
  </si>
  <si>
    <t>Inner height of the cold room (m)</t>
  </si>
  <si>
    <t>z =</t>
  </si>
  <si>
    <r>
      <rPr>
        <sz val="11"/>
        <color theme="1"/>
        <rFont val="Calibri"/>
        <family val="2"/>
      </rPr>
      <t>Thermal Conductivity of Insulation W m</t>
    </r>
    <r>
      <rPr>
        <vertAlign val="superscript"/>
        <sz val="11"/>
        <color theme="1"/>
        <rFont val="Calibri"/>
        <family val="2"/>
      </rPr>
      <t>−1</t>
    </r>
    <r>
      <rPr>
        <sz val="11"/>
        <color theme="1"/>
        <rFont val="Calibri"/>
        <family val="2"/>
      </rPr>
      <t xml:space="preserve"> K</t>
    </r>
    <r>
      <rPr>
        <vertAlign val="superscript"/>
        <sz val="11"/>
        <color theme="1"/>
        <rFont val="Calibri"/>
        <family val="2"/>
      </rPr>
      <t>−1</t>
    </r>
  </si>
  <si>
    <r>
      <rPr>
        <sz val="11"/>
        <color theme="1"/>
        <rFont val="Calibri"/>
        <family val="2"/>
      </rPr>
      <t xml:space="preserve">k /  </t>
    </r>
    <r>
      <rPr>
        <sz val="11"/>
        <color theme="1"/>
        <rFont val="Symbol"/>
        <family val="1"/>
        <charset val="2"/>
      </rPr>
      <t>l =</t>
    </r>
  </si>
  <si>
    <t>W/m K</t>
  </si>
  <si>
    <t>Thickness of Insulation (m)</t>
  </si>
  <si>
    <t>L =</t>
  </si>
  <si>
    <t>No</t>
  </si>
  <si>
    <t>Refrigeration Unit Information</t>
  </si>
  <si>
    <t>Yes</t>
  </si>
  <si>
    <t>$</t>
  </si>
  <si>
    <t>%</t>
  </si>
  <si>
    <t>Power Rating</t>
  </si>
  <si>
    <t>Technical Design Output</t>
  </si>
  <si>
    <t>Total Cooling Demand</t>
  </si>
  <si>
    <t>kWh/day</t>
  </si>
  <si>
    <t xml:space="preserve">Calculated COP </t>
  </si>
  <si>
    <t>-</t>
  </si>
  <si>
    <t>Cooling Power</t>
  </si>
  <si>
    <t>kW</t>
  </si>
  <si>
    <t xml:space="preserve">Avg Electrical Power Demand </t>
  </si>
  <si>
    <t>Electricity Consumption</t>
  </si>
  <si>
    <t>Charging Current at 48Vdc</t>
  </si>
  <si>
    <t>Amps</t>
  </si>
  <si>
    <t>Solar PV Array</t>
  </si>
  <si>
    <t>Refrigeration Units</t>
  </si>
  <si>
    <t>Useful Battery Capacity</t>
  </si>
  <si>
    <t>kWp</t>
  </si>
  <si>
    <t>Unit(s)</t>
  </si>
  <si>
    <t>kWh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</si>
  <si>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</si>
  <si>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</si>
  <si>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</si>
  <si>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</si>
  <si>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</si>
  <si>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</si>
  <si>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</si>
  <si>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</si>
  <si>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</si>
  <si>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</si>
  <si>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</si>
  <si>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</si>
  <si>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WORSTCASE</t>
  </si>
  <si>
    <t>Mean daily temperature [°C]:</t>
  </si>
  <si>
    <t>Solar irradiation [kWh/m² day]:</t>
  </si>
  <si>
    <r>
      <rPr>
        <b/>
        <sz val="11"/>
        <color theme="1"/>
        <rFont val="Calibri"/>
        <family val="2"/>
      </rPr>
      <t>Thermal losses</t>
    </r>
    <r>
      <rPr>
        <b/>
        <vertAlign val="subscript"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for each day [kWh]:</t>
    </r>
  </si>
  <si>
    <t>Thermal Energy Liquid phase [kWh]:</t>
  </si>
  <si>
    <t>Thermal Energy Change Phase [kWh]:</t>
  </si>
  <si>
    <t>Thermal Energy Ice Phase [kWh]:</t>
  </si>
  <si>
    <t xml:space="preserve">Max Power to cool down the product [kW]: </t>
  </si>
  <si>
    <t>Thermal Energy to cold down the air of the cold room once per day [kWh]:</t>
  </si>
  <si>
    <t xml:space="preserve">Daily Energy to cool down the product and air [kWh]: </t>
  </si>
  <si>
    <r>
      <rPr>
        <b/>
        <sz val="11"/>
        <color theme="1"/>
        <rFont val="Calibri"/>
        <family val="2"/>
      </rPr>
      <t>Q</t>
    </r>
    <r>
      <rPr>
        <b/>
        <vertAlign val="subscript"/>
        <sz val="11"/>
        <color theme="1"/>
        <rFont val="Calibri"/>
        <family val="2"/>
      </rPr>
      <t>total</t>
    </r>
    <r>
      <rPr>
        <b/>
        <sz val="11"/>
        <color theme="1"/>
        <rFont val="Calibri"/>
        <family val="2"/>
      </rPr>
      <t xml:space="preserve"> for each day [kW]:</t>
    </r>
  </si>
  <si>
    <t>COP without battery:</t>
  </si>
  <si>
    <t>COP :</t>
  </si>
  <si>
    <r>
      <rPr>
        <b/>
        <sz val="11"/>
        <color theme="1"/>
        <rFont val="Calibri"/>
        <family val="2"/>
      </rPr>
      <t>Energy needed</t>
    </r>
    <r>
      <rPr>
        <b/>
        <vertAlign val="subscript"/>
        <sz val="11"/>
        <color theme="1"/>
        <rFont val="Calibri"/>
        <family val="2"/>
      </rPr>
      <t xml:space="preserve"> fan+pump </t>
    </r>
    <r>
      <rPr>
        <b/>
        <sz val="11"/>
        <color theme="1"/>
        <rFont val="Calibri"/>
        <family val="2"/>
      </rPr>
      <t>[kWh</t>
    </r>
    <r>
      <rPr>
        <b/>
        <vertAlign val="subscript"/>
        <sz val="11"/>
        <color theme="1"/>
        <rFont val="Calibri"/>
        <family val="2"/>
      </rPr>
      <t>el</t>
    </r>
    <r>
      <rPr>
        <b/>
        <sz val="11"/>
        <color theme="1"/>
        <rFont val="Calibri"/>
        <family val="2"/>
      </rPr>
      <t>]:</t>
    </r>
  </si>
  <si>
    <t xml:space="preserve">Maximum values </t>
  </si>
  <si>
    <r>
      <rPr>
        <b/>
        <sz val="11"/>
        <color theme="1"/>
        <rFont val="Calibri"/>
        <family val="2"/>
      </rPr>
      <t>Engergy needed</t>
    </r>
    <r>
      <rPr>
        <b/>
        <vertAlign val="subscript"/>
        <sz val="11"/>
        <color theme="1"/>
        <rFont val="Calibri"/>
        <family val="2"/>
      </rPr>
      <t xml:space="preserve"> cooling units </t>
    </r>
    <r>
      <rPr>
        <b/>
        <sz val="11"/>
        <color theme="1"/>
        <rFont val="Calibri"/>
        <family val="2"/>
      </rPr>
      <t>[kWh</t>
    </r>
    <r>
      <rPr>
        <b/>
        <vertAlign val="subscript"/>
        <sz val="11"/>
        <color theme="1"/>
        <rFont val="Calibri"/>
        <family val="2"/>
      </rPr>
      <t>el</t>
    </r>
    <r>
      <rPr>
        <b/>
        <sz val="11"/>
        <color theme="1"/>
        <rFont val="Calibri"/>
        <family val="2"/>
      </rPr>
      <t>]:</t>
    </r>
  </si>
  <si>
    <t>rounded</t>
  </si>
  <si>
    <t>Cooling units needed (no battery):</t>
  </si>
  <si>
    <t>PV Capacity fan+pump (Wp):</t>
  </si>
  <si>
    <t>Cooling units needed (with battery):</t>
  </si>
  <si>
    <t>PV Capacity cooling units (Wp):</t>
  </si>
  <si>
    <t>Lithium Usable (kWh)</t>
  </si>
  <si>
    <t>Weco 5k3 Qty</t>
  </si>
  <si>
    <t>Charging Current</t>
  </si>
  <si>
    <t>Electrical Demand W</t>
  </si>
  <si>
    <t>Inverter</t>
  </si>
  <si>
    <t>Battery Cooling Units (Ah related to 12 V):</t>
  </si>
  <si>
    <t>Battery Fan and Pump (Ah related to 12 V):</t>
  </si>
  <si>
    <t>Cooling Unit Run Time (hrs)</t>
  </si>
  <si>
    <t>Product information</t>
  </si>
  <si>
    <t>Mass =</t>
  </si>
  <si>
    <t>kg or l</t>
  </si>
  <si>
    <t>MC =</t>
  </si>
  <si>
    <t>cp =</t>
  </si>
  <si>
    <t>kJ/kg K</t>
  </si>
  <si>
    <t>Calculated heat capacity of the product:</t>
  </si>
  <si>
    <t>CP due to input of the user (either calculated via MC or direct)</t>
  </si>
  <si>
    <t>t =</t>
  </si>
  <si>
    <t>h</t>
  </si>
  <si>
    <t xml:space="preserve">How many days will the product be cooled? </t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</si>
  <si>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 xml:space="preserve"> =</t>
    </r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</si>
  <si>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m</t>
    </r>
    <r>
      <rPr>
        <sz val="11"/>
        <color theme="1"/>
        <rFont val="Calibri"/>
        <family val="2"/>
      </rPr>
      <t xml:space="preserve"> =</t>
    </r>
  </si>
  <si>
    <t>Cooling Unit</t>
  </si>
  <si>
    <t>Number of Refrigeration Units Calculated</t>
  </si>
  <si>
    <t>Maximum Temperature within the year:</t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</si>
  <si>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yearmax</t>
    </r>
    <r>
      <rPr>
        <sz val="11"/>
        <color theme="1"/>
        <rFont val="Calibri"/>
        <family val="2"/>
      </rPr>
      <t xml:space="preserve"> =</t>
    </r>
  </si>
  <si>
    <t>Temperature within the cooling device ( Final temp - 5°C):</t>
  </si>
  <si>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cold</t>
    </r>
    <r>
      <rPr>
        <sz val="11"/>
        <color theme="1"/>
        <rFont val="Calibri"/>
        <family val="2"/>
      </rPr>
      <t xml:space="preserve"> =</t>
    </r>
  </si>
  <si>
    <t>Alpha - value:</t>
  </si>
  <si>
    <t>COP worst case =</t>
  </si>
  <si>
    <t>Isolation material</t>
  </si>
  <si>
    <t>Inner length of the cold room</t>
  </si>
  <si>
    <t>Inner width of the cold room</t>
  </si>
  <si>
    <t>Inner height of the cold room</t>
  </si>
  <si>
    <t>Inner area of the cold room</t>
  </si>
  <si>
    <t>A =</t>
  </si>
  <si>
    <t>m²</t>
  </si>
  <si>
    <r>
      <rPr>
        <sz val="11"/>
        <color theme="1"/>
        <rFont val="Calibri"/>
        <family val="2"/>
      </rPr>
      <t xml:space="preserve">k /  </t>
    </r>
    <r>
      <rPr>
        <sz val="11"/>
        <color theme="1"/>
        <rFont val="Symbol"/>
        <family val="1"/>
        <charset val="2"/>
      </rPr>
      <t>l =</t>
    </r>
  </si>
  <si>
    <t>U =</t>
  </si>
  <si>
    <t>Cold Room Volume</t>
  </si>
  <si>
    <t>V=</t>
  </si>
  <si>
    <t>m3</t>
  </si>
  <si>
    <t>Batteries:</t>
  </si>
  <si>
    <t>System information</t>
  </si>
  <si>
    <t xml:space="preserve">Batteries </t>
  </si>
  <si>
    <t>Economic information</t>
  </si>
  <si>
    <t>Income</t>
  </si>
  <si>
    <t>Primary System + Secondary</t>
  </si>
  <si>
    <t>Secondary System</t>
  </si>
  <si>
    <t>Additional income per product:</t>
  </si>
  <si>
    <t>Total PV Costs:</t>
  </si>
  <si>
    <t>years</t>
  </si>
  <si>
    <t>Additional income per year:</t>
  </si>
  <si>
    <t>Lifetime PV:</t>
  </si>
  <si>
    <t>Total income :</t>
  </si>
  <si>
    <t>Total Battery costs:</t>
  </si>
  <si>
    <t>Lifetime battery:</t>
  </si>
  <si>
    <t>Total solar cooling unit costs:</t>
  </si>
  <si>
    <t>Lifetime cooling unit:</t>
  </si>
  <si>
    <t>Material &amp; construction:</t>
  </si>
  <si>
    <t>Maintenance per year:</t>
  </si>
  <si>
    <t>Economic Analysis: System with battery</t>
  </si>
  <si>
    <t xml:space="preserve">With batteries? </t>
  </si>
  <si>
    <t>Year</t>
  </si>
  <si>
    <t>PV Costs</t>
  </si>
  <si>
    <t>Battery Costs</t>
  </si>
  <si>
    <t>Solar cooling units cost</t>
  </si>
  <si>
    <t>Material &amp; Construction</t>
  </si>
  <si>
    <t>Maintenance costs</t>
  </si>
  <si>
    <t>Expenses per year:</t>
  </si>
  <si>
    <t>Expenses per year accumulated:</t>
  </si>
  <si>
    <t>Expenses per year accumulated (for hiding in the diagramm):</t>
  </si>
  <si>
    <t xml:space="preserve"> Accumulated income per year:</t>
  </si>
  <si>
    <t>Income per year:</t>
  </si>
  <si>
    <t>Cashfow per year:</t>
  </si>
  <si>
    <t>Accumulated cashflow per year (for payback calculation)</t>
  </si>
  <si>
    <t>Total initial investment costs:</t>
  </si>
  <si>
    <t>Payback period:</t>
  </si>
  <si>
    <t>Net Present Value:</t>
  </si>
  <si>
    <t>Internal Rate of Return:</t>
  </si>
  <si>
    <t>Economic Analysis: System without battery</t>
  </si>
  <si>
    <t>Titles for the diagramm:</t>
  </si>
  <si>
    <t xml:space="preserve"> Accumulated investment per year:</t>
  </si>
  <si>
    <t>Cooling Curve Calculation</t>
  </si>
  <si>
    <t>Initial temperature of the product</t>
  </si>
  <si>
    <t>Ti =</t>
  </si>
  <si>
    <t>Time (h)</t>
  </si>
  <si>
    <t>Final temperature of the product</t>
  </si>
  <si>
    <t>Tm =</t>
  </si>
  <si>
    <t>Total mass to be cooled</t>
  </si>
  <si>
    <t xml:space="preserve"> Moisture content of the product</t>
  </si>
  <si>
    <t>% wet based</t>
  </si>
  <si>
    <t xml:space="preserve"> or Heat capacity of the product</t>
  </si>
  <si>
    <t>Calculated heat Capacity of the product:</t>
  </si>
  <si>
    <t>Radius</t>
  </si>
  <si>
    <t xml:space="preserve">cp value due to selection: </t>
  </si>
  <si>
    <t>Density</t>
  </si>
  <si>
    <t>Convection air - product</t>
  </si>
  <si>
    <t>Volumen Product</t>
  </si>
  <si>
    <t>m³</t>
  </si>
  <si>
    <t>Surface Product</t>
  </si>
  <si>
    <t>Time constant Tau</t>
  </si>
  <si>
    <t>s</t>
  </si>
  <si>
    <t>Product Mass</t>
  </si>
  <si>
    <t>g/unit</t>
  </si>
  <si>
    <t xml:space="preserve"> </t>
  </si>
  <si>
    <t>T: Temperature Cooling medium</t>
  </si>
  <si>
    <t>Tset: Start temperature</t>
  </si>
  <si>
    <t>Titles for the diagramm</t>
  </si>
  <si>
    <t>t: Time (s)</t>
  </si>
  <si>
    <t>Cooling Load Calculation</t>
  </si>
  <si>
    <t>Area of the refrigerator</t>
  </si>
  <si>
    <t>Thermal conductivity of insulation</t>
  </si>
  <si>
    <t>k /  l =</t>
  </si>
  <si>
    <t>Thickness of insulation</t>
  </si>
  <si>
    <t>Ice storage inside the cold room?</t>
  </si>
  <si>
    <t>U</t>
  </si>
  <si>
    <t>W/m²</t>
  </si>
  <si>
    <t>kJ/kg</t>
  </si>
  <si>
    <t>T product  (°C)</t>
  </si>
  <si>
    <t>T Ambient (°C)</t>
  </si>
  <si>
    <t>Q Product (kW)</t>
  </si>
  <si>
    <t>Q transmission (losses through insulation) (kW)</t>
  </si>
  <si>
    <t>Selection:</t>
  </si>
  <si>
    <t>Kenya (Kisumu)</t>
  </si>
  <si>
    <t>List of locations:</t>
  </si>
  <si>
    <t>Solar irradiation [kWh/m² monthly]:</t>
  </si>
  <si>
    <t>Mali (Bamako)</t>
  </si>
  <si>
    <t>Benin (Porto Novo)</t>
  </si>
  <si>
    <t>Kigali (Rwanda)</t>
  </si>
  <si>
    <t>Ilorin (Nigeria)</t>
  </si>
  <si>
    <t>Lagos (Nigeria)</t>
  </si>
  <si>
    <t>Mogadischu (Somalia)</t>
  </si>
  <si>
    <t>Tamale,Ghana</t>
  </si>
  <si>
    <t>+++ Add location +++</t>
  </si>
  <si>
    <t>Selected language:</t>
  </si>
  <si>
    <t>Number:</t>
  </si>
  <si>
    <t>Appearence in the tool</t>
  </si>
  <si>
    <t>Français</t>
  </si>
  <si>
    <t>Español</t>
  </si>
  <si>
    <t>Deutsch</t>
  </si>
  <si>
    <t>Read me</t>
  </si>
  <si>
    <t>Solar Powered Cold &amp; Freezing Rooms with Monoblocs
Design Toolbox</t>
  </si>
  <si>
    <t>Chambres froides et de congélation solaires avec monoblocs
Boîte à outils de conception</t>
  </si>
  <si>
    <t xml:space="preserve">Read Me Sheet </t>
  </si>
  <si>
    <t>Lisez-moi</t>
  </si>
  <si>
    <t>Introduction</t>
  </si>
  <si>
    <t>This tool calculates the required solar system for a cold/freezing room run by monoblocs. Exemplary data is filled and can be modified by own data</t>
  </si>
  <si>
    <t>Cet outil calcule le système solaire nécessaire pour une chambre froide/congélation fonctionnant avec des monoblocs. Des données exemplaires sont fournies et peuvent être modifiées par des données propres.</t>
  </si>
  <si>
    <t>Tips &amp; Tricks</t>
  </si>
  <si>
    <t>Conseils et astuces</t>
  </si>
  <si>
    <t>Overview of the following sheets</t>
  </si>
  <si>
    <t>Aperçu des feuilles</t>
  </si>
  <si>
    <t>1. Geographic Data</t>
  </si>
  <si>
    <t>2. Input</t>
  </si>
  <si>
    <t>3. Cooling Curve</t>
  </si>
  <si>
    <t>4. Output</t>
  </si>
  <si>
    <t>5. Weather Data</t>
  </si>
  <si>
    <t>Calculation Sheet (Hidden)</t>
  </si>
  <si>
    <t>Feuille de calcul (caché)</t>
  </si>
  <si>
    <t>Translation sheet (Hidden)</t>
  </si>
  <si>
    <t>Feuille de traduction (caché)</t>
  </si>
  <si>
    <t xml:space="preserve">For selecting basic site information: ambient temperatures or solar radiation. </t>
  </si>
  <si>
    <t>Pour choisir des informations de base sur le site: températures ambiantes ou rayonnement solaire.</t>
  </si>
  <si>
    <t>Selection de datos climaticos: Temperatura ambiente y radiación solar</t>
  </si>
  <si>
    <t>For adding data about the product to be cooled under given conditions</t>
  </si>
  <si>
    <t>Pour ajouter des données sur le produit à refroidir dans des conditions données</t>
  </si>
  <si>
    <t>Visualization of the Cooling Curve and Cooling Load profile</t>
  </si>
  <si>
    <t>Visualisation de la courbe de refroidissement et du profil de charge de refroidissement</t>
  </si>
  <si>
    <t>For an overview of the results</t>
  </si>
  <si>
    <t>Pour un aperçu des résultats</t>
  </si>
  <si>
    <t>To add weather data for a specific location</t>
  </si>
  <si>
    <t>Pour ajouter des données météorologiques pour un endroit spécifique</t>
  </si>
  <si>
    <t>Para añadir datos meteorológicos para una ubicación específica</t>
  </si>
  <si>
    <t>All calculations are done within this sheet</t>
  </si>
  <si>
    <t>Tous les calculs sont effectués dans cette feuille</t>
  </si>
  <si>
    <t>Contains the translation into several languages</t>
  </si>
  <si>
    <t>Contient la traduction en plusieurs langues</t>
  </si>
  <si>
    <t>Additional information</t>
  </si>
  <si>
    <t>Informatios supplémentaires</t>
  </si>
  <si>
    <t>Cet outil a été créé par le groupe de Solar Cooling Engineering</t>
  </si>
  <si>
    <t>In cooperation with</t>
  </si>
  <si>
    <t>En coopération avec</t>
  </si>
  <si>
    <t>1 Geographic Data</t>
  </si>
  <si>
    <t>1. Données géographiques</t>
  </si>
  <si>
    <t>Temperature quotidienne moyenne [°C]</t>
  </si>
  <si>
    <t>Irradiation solaire [kWh/m² jour]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</si>
  <si>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</si>
  <si>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</si>
  <si>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</si>
  <si>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</si>
  <si>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</si>
  <si>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</si>
  <si>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</si>
  <si>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</si>
  <si>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</si>
  <si>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 xml:space="preserve">Octobre </t>
  </si>
  <si>
    <t>Novembre</t>
  </si>
  <si>
    <t>Décembre</t>
  </si>
  <si>
    <t>Locations can be added on the sheet "Weather Data"</t>
  </si>
  <si>
    <t>Des localisations peuvent être ajoutées sur la feuille "Weather Data"</t>
  </si>
  <si>
    <t>Las ubicaciones pueden ser añadidas en la hoja "Weather Data".</t>
  </si>
  <si>
    <t>Choose location:</t>
  </si>
  <si>
    <t>Selectionner localisation:</t>
  </si>
  <si>
    <t>Selectionar ubicación:</t>
  </si>
  <si>
    <t>Use to obtain indicative monthly irradiation and temperature data for the site:</t>
  </si>
  <si>
    <t>À utiliser pour obtenir des données indicatives mensuelles sur l’irradiation et la température du site:</t>
  </si>
  <si>
    <t>2 Input</t>
  </si>
  <si>
    <t>Input of parameters</t>
  </si>
  <si>
    <t>Entrée de paramètres</t>
  </si>
  <si>
    <t>Information du produit</t>
  </si>
  <si>
    <t>Data</t>
  </si>
  <si>
    <t>Données</t>
  </si>
  <si>
    <t>Masse totale à refroidir</t>
  </si>
  <si>
    <t>Moisture content of the product</t>
  </si>
  <si>
    <t>Teneur en humidité du produit</t>
  </si>
  <si>
    <t>ou capacité thermique du produit</t>
  </si>
  <si>
    <t>Masse =</t>
  </si>
  <si>
    <t>kg ou l</t>
  </si>
  <si>
    <t>% à base humide</t>
  </si>
  <si>
    <t>Rayon</t>
  </si>
  <si>
    <t xml:space="preserve">Densité </t>
  </si>
  <si>
    <t>Convection air - produit</t>
  </si>
  <si>
    <t>Conduction coefficient of the product</t>
  </si>
  <si>
    <t>Coefficient de conduction du porduit</t>
  </si>
  <si>
    <t>Information des températures</t>
  </si>
  <si>
    <t>Température initiale du produit</t>
  </si>
  <si>
    <t>Freezing Room Temperature Set-Point</t>
  </si>
  <si>
    <t>Température finale du produit</t>
  </si>
  <si>
    <t>Time to cool down the product</t>
  </si>
  <si>
    <t>Temps pour refroidir le produit</t>
  </si>
  <si>
    <t>How often do you cool down the product</t>
  </si>
  <si>
    <t>À quelle fréquence refroidissez-vous le produit?</t>
  </si>
  <si>
    <t>per month</t>
  </si>
  <si>
    <t>par mois</t>
  </si>
  <si>
    <t>Informations du système</t>
  </si>
  <si>
    <t>Batteries</t>
  </si>
  <si>
    <t>Autonomy of the system</t>
  </si>
  <si>
    <t>Autonomie du système</t>
  </si>
  <si>
    <t>PV System losses (e.g. 25%)</t>
  </si>
  <si>
    <t>Pertes du système</t>
  </si>
  <si>
    <t>PV Panels</t>
  </si>
  <si>
    <t>Panneau solaires</t>
  </si>
  <si>
    <t>Charge Controller</t>
  </si>
  <si>
    <t>Contrôleur de charge</t>
  </si>
  <si>
    <t>Control Unit</t>
  </si>
  <si>
    <t>Unité de control</t>
  </si>
  <si>
    <t>Compressor</t>
  </si>
  <si>
    <t>Compressseur</t>
  </si>
  <si>
    <t>Ice storage</t>
  </si>
  <si>
    <t>Stockage de glace</t>
  </si>
  <si>
    <t>Water bath</t>
  </si>
  <si>
    <t>Bain d'eau</t>
  </si>
  <si>
    <t>Ice on evaporator surface</t>
  </si>
  <si>
    <t>Glace surface de l'évaporateur</t>
  </si>
  <si>
    <t>DC pump</t>
  </si>
  <si>
    <t>Pompe CC</t>
  </si>
  <si>
    <t>Fan coil unit</t>
  </si>
  <si>
    <t>Ventilo-convecteur</t>
  </si>
  <si>
    <t>Cold room</t>
  </si>
  <si>
    <t>Chambre froide</t>
  </si>
  <si>
    <t>Cooled product</t>
  </si>
  <si>
    <t>Produit refroidi</t>
  </si>
  <si>
    <t>Oui</t>
  </si>
  <si>
    <t>Non</t>
  </si>
  <si>
    <t>Cold Room</t>
  </si>
  <si>
    <t>Longueur intérieur de la chambre froide</t>
  </si>
  <si>
    <t>Largeur intérieur de la chambre froide</t>
  </si>
  <si>
    <t>Hauteur intérieur de la chambre froide</t>
  </si>
  <si>
    <t>Area of the cold room</t>
  </si>
  <si>
    <t>Surface du réfrigérateur</t>
  </si>
  <si>
    <t>Conductivité thermique de l'isolation</t>
  </si>
  <si>
    <t>Épaisseur de l'isolation</t>
  </si>
  <si>
    <t>Stockage de glace dans la chambre froide?</t>
  </si>
  <si>
    <t>Informations économiques</t>
  </si>
  <si>
    <t>Currency used for calculation</t>
  </si>
  <si>
    <t>Devise utilisée pour le calcul</t>
  </si>
  <si>
    <t>Specific cost of PV</t>
  </si>
  <si>
    <t>Coût spécifique du PV</t>
  </si>
  <si>
    <t>PV lifetime</t>
  </si>
  <si>
    <t>PV durée de vie</t>
  </si>
  <si>
    <t xml:space="preserve">Specif cost of battery  </t>
  </si>
  <si>
    <t>Coût spécifique de la batterie</t>
  </si>
  <si>
    <t>Battery lifetime</t>
  </si>
  <si>
    <t>Durée de vie de la batterie</t>
  </si>
  <si>
    <t>Cost of a Monoblock cooling unit</t>
  </si>
  <si>
    <t>Coût d'une unité de refroidissement Monoblock</t>
  </si>
  <si>
    <t>Solar cooling unit lifetime</t>
  </si>
  <si>
    <t>Durée de vie de l'unité de refroidissement solaire</t>
  </si>
  <si>
    <t>Costs of aditional materials (cold cell, waterchiller box, pipes, water pump)</t>
  </si>
  <si>
    <t>Coûts de matériel et de construction pour la glacière</t>
  </si>
  <si>
    <t>Maintenance costs per year</t>
  </si>
  <si>
    <t>Coûts de maintenance par an</t>
  </si>
  <si>
    <t>années</t>
  </si>
  <si>
    <t>Additional income per product unit</t>
  </si>
  <si>
    <t>Revenu supplémentaire par unité de produit</t>
  </si>
  <si>
    <t>Additional income per month</t>
  </si>
  <si>
    <t>Revenu supplémentaire par mois</t>
  </si>
  <si>
    <t>Discount rate</t>
  </si>
  <si>
    <t>Taux de remise</t>
  </si>
  <si>
    <t xml:space="preserve">Inflation  </t>
  </si>
  <si>
    <t>Inflation</t>
  </si>
  <si>
    <t>3 Cooling Curve</t>
  </si>
  <si>
    <t>Cooling Curve</t>
  </si>
  <si>
    <t>Courbe de refroidissement</t>
  </si>
  <si>
    <t>Temperature in °C</t>
  </si>
  <si>
    <t>Température en °C</t>
  </si>
  <si>
    <t>Time in h</t>
  </si>
  <si>
    <t>Temps en h</t>
  </si>
  <si>
    <t>Temperature of the product</t>
  </si>
  <si>
    <t>Température du produit</t>
  </si>
  <si>
    <t>Accumulated Cooling load in kWh</t>
  </si>
  <si>
    <t>Charge de refroidissement accumulée en kWh</t>
  </si>
  <si>
    <t>Cooling load</t>
  </si>
  <si>
    <t>Charge de refroidissement</t>
  </si>
  <si>
    <t>Thermal losses cold month in kWh</t>
  </si>
  <si>
    <t>Pertes thermiques mois froid en kWh</t>
  </si>
  <si>
    <t>Thermal losses hot month in kWh</t>
  </si>
  <si>
    <t>Pertes thermiques mois chaud en kWh</t>
  </si>
  <si>
    <t>Cooling Curve &amp; Cooling Load</t>
  </si>
  <si>
    <t>Courbe de refroidissement et charge de refroidissement</t>
  </si>
  <si>
    <t>4 Output</t>
  </si>
  <si>
    <t>Results</t>
  </si>
  <si>
    <t>Résultats</t>
  </si>
  <si>
    <t>System Design (Secondary System)</t>
  </si>
  <si>
    <t>Conception du système sans batteries</t>
  </si>
  <si>
    <t>Monoblock Cooling units needed:</t>
  </si>
  <si>
    <t>Unités de refroidissement monobloc nécessaires :</t>
  </si>
  <si>
    <t>Cooling units costs:</t>
  </si>
  <si>
    <t>Coûts des unités de refroidissement:</t>
  </si>
  <si>
    <t>Solar PV size:</t>
  </si>
  <si>
    <t>Taille PV solaire:</t>
  </si>
  <si>
    <t>Solar PV costs:</t>
  </si>
  <si>
    <t>Coûts PV solaire:</t>
  </si>
  <si>
    <t>Battery size:</t>
  </si>
  <si>
    <t>Taille des batteries:</t>
  </si>
  <si>
    <t>Battery costs:</t>
  </si>
  <si>
    <t>Coûts des batteries:</t>
  </si>
  <si>
    <t>Total initial investment:</t>
  </si>
  <si>
    <t>Investissement initial total:</t>
  </si>
  <si>
    <t>Période de récupération:</t>
  </si>
  <si>
    <t>Net present value:</t>
  </si>
  <si>
    <t>Valeur actuelle nette:</t>
  </si>
  <si>
    <t>Internal rate of return:</t>
  </si>
  <si>
    <t>Taux de rendement interne:</t>
  </si>
  <si>
    <t>System Design</t>
  </si>
  <si>
    <t>Conception du système avec batteries</t>
  </si>
  <si>
    <t>Accumulated income &amp; system costs over 20 years</t>
  </si>
  <si>
    <t xml:space="preserve">Revenu accumulé et coûts du système sur 20 ans </t>
  </si>
  <si>
    <t>Years</t>
  </si>
  <si>
    <t>Années</t>
  </si>
  <si>
    <t>Accumulated income</t>
  </si>
  <si>
    <t>Revenu accumulé</t>
  </si>
  <si>
    <t>Accumulated system costs without batteries</t>
  </si>
  <si>
    <t>Coûts accumulé du système sans batteries</t>
  </si>
  <si>
    <t>Accumulated system costs</t>
  </si>
  <si>
    <t>Coûts accumulé du système avec batteries</t>
  </si>
  <si>
    <t>Hybrid Inverter</t>
  </si>
  <si>
    <t>Solar System</t>
  </si>
  <si>
    <t>System losses</t>
  </si>
  <si>
    <t>Days</t>
  </si>
  <si>
    <t>Autonomy days</t>
  </si>
  <si>
    <t>PV Size</t>
  </si>
  <si>
    <t>Battery Size (Useful Energy)</t>
  </si>
  <si>
    <t>Inverter Size</t>
  </si>
  <si>
    <t>kVA</t>
  </si>
  <si>
    <t>Cold Room Total Area</t>
  </si>
  <si>
    <t>Specific Cost</t>
  </si>
  <si>
    <t>Total Cost</t>
  </si>
  <si>
    <t xml:space="preserve">PV </t>
  </si>
  <si>
    <t xml:space="preserve">Battery </t>
  </si>
  <si>
    <t>Total</t>
  </si>
  <si>
    <t>PV installed cost</t>
  </si>
  <si>
    <t>Battery installed cost</t>
  </si>
  <si>
    <t>Inverter installed cost</t>
  </si>
  <si>
    <t>Cold Room installed cost</t>
  </si>
  <si>
    <t>4. Cost</t>
  </si>
  <si>
    <t>Other Cost</t>
  </si>
  <si>
    <r>
      <t xml:space="preserve">Enter values into </t>
    </r>
    <r>
      <rPr>
        <sz val="10"/>
        <color rgb="FFFFC000"/>
        <rFont val="+mn-ea"/>
      </rPr>
      <t>coloured</t>
    </r>
    <r>
      <rPr>
        <sz val="10"/>
        <color rgb="FF000000"/>
        <rFont val="+mn-ea"/>
      </rPr>
      <t xml:space="preserve"> cells only!
None entry cells are protected. 
</t>
    </r>
  </si>
  <si>
    <r>
      <t xml:space="preserve">Saisissez des valeurs uniquement dans les cellules  </t>
    </r>
    <r>
      <rPr>
        <sz val="11"/>
        <color rgb="FFFFC000"/>
        <rFont val="Calibri"/>
        <family val="2"/>
      </rPr>
      <t>colorées</t>
    </r>
    <r>
      <rPr>
        <sz val="11"/>
        <color theme="1"/>
        <rFont val="Calibri"/>
        <family val="2"/>
      </rPr>
      <t xml:space="preserve">!
Les cellules qui ne doivent pas être remplies sont protégées. </t>
    </r>
  </si>
  <si>
    <t xml:space="preserve">This tool was created by Solar Cooling Engineering </t>
  </si>
  <si>
    <t>$/kWp</t>
  </si>
  <si>
    <t>$/kWh</t>
  </si>
  <si>
    <t>$/kVA</t>
  </si>
  <si>
    <t>$/m²</t>
  </si>
  <si>
    <t>$/unit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</si>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</sst>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;;;"/>
    <numFmt numFmtId="166" formatCode="_-* #,##0\ _€_-;\-* #,##0\ _€_-;_-* &quot;-&quot;??\ _€_-;_-@"/>
    <numFmt numFmtId="167" formatCode="_-[$€-2]\ * #,##0.00_-;\-[$€-2]\ * #,##0.00_-;_-[$€-2]\ * &quot;-&quot;??_-;_-@"/>
    <numFmt numFmtId="168" formatCode="0.000"/>
    <numFmt numFmtId="169" formatCode="0.00000"/>
    <numFmt numFmtId="170" formatCode="_-[$$-409]* #,##0.00_ ;_-[$$-409]* \-#,##0.00\ ;_-[$$-409]* &quot;-&quot;??_ ;_-@_ "/>
  </numFmts>
  <fonts count="40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b/>
      <sz val="18"/>
      <color theme="0"/>
      <name val="Calibri"/>
      <family val="2"/>
    </font>
    <font>
      <sz val="18"/>
      <color rgb="FF002060"/>
      <name val="Calibri"/>
      <family val="2"/>
    </font>
    <font>
      <b/>
      <sz val="14"/>
      <color rgb="FF002060"/>
      <name val="Calibri"/>
      <family val="2"/>
    </font>
    <font>
      <sz val="11"/>
      <color rgb="FF002060"/>
      <name val="Calibri"/>
      <family val="2"/>
    </font>
    <font>
      <b/>
      <sz val="18"/>
      <color rgb="FF002060"/>
      <name val="Calibri"/>
      <family val="2"/>
    </font>
    <font>
      <b/>
      <sz val="11"/>
      <color rgb="FF002060"/>
      <name val="Calibri"/>
      <family val="2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rgb="FF002060"/>
      <name val="Calibri"/>
      <family val="2"/>
    </font>
    <font>
      <sz val="16"/>
      <color theme="0"/>
      <name val="Calibri"/>
      <family val="2"/>
    </font>
    <font>
      <b/>
      <sz val="16"/>
      <color rgb="FF1F2985"/>
      <name val="Calibri"/>
      <family val="2"/>
    </font>
    <font>
      <b/>
      <sz val="11"/>
      <color rgb="FF7F7F7F"/>
      <name val="Calibri"/>
      <family val="2"/>
    </font>
    <font>
      <sz val="8"/>
      <color rgb="FF666666"/>
      <name val="Arial"/>
      <family val="2"/>
    </font>
    <font>
      <sz val="10"/>
      <color rgb="FF000000"/>
      <name val="+mn-ea"/>
    </font>
    <font>
      <vertAlign val="sub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Symbol"/>
      <family val="1"/>
      <charset val="2"/>
    </font>
    <font>
      <b/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rgb="FF002060"/>
      <name val="Calibri"/>
      <family val="2"/>
    </font>
    <font>
      <b/>
      <sz val="11"/>
      <color theme="1"/>
      <name val="Calibri"/>
      <family val="2"/>
    </font>
    <font>
      <sz val="18"/>
      <color rgb="FF002060"/>
      <name val="Calibri"/>
      <family val="2"/>
    </font>
    <font>
      <b/>
      <sz val="18"/>
      <color theme="1"/>
      <name val="Calibri"/>
      <family val="2"/>
    </font>
    <font>
      <b/>
      <sz val="18"/>
      <color theme="0"/>
      <name val="Calibri"/>
      <family val="2"/>
    </font>
    <font>
      <sz val="10"/>
      <color rgb="FFFFC000"/>
      <name val="+mn-ea"/>
    </font>
    <font>
      <sz val="11"/>
      <color rgb="FFFFC000"/>
      <name val="Calibri"/>
      <family val="2"/>
    </font>
    <font>
      <b/>
      <sz val="24"/>
      <color rgb="FF262626"/>
      <name val="Calibri"/>
      <family val="2"/>
    </font>
    <font>
      <sz val="24"/>
      <name val="Calibri"/>
      <family val="2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2E75B5"/>
        <bgColor rgb="FF2E75B5"/>
      </patternFill>
    </fill>
    <fill>
      <patternFill patternType="solid">
        <fgColor rgb="FFB4C6E7"/>
        <bgColor rgb="FFB4C6E7"/>
      </patternFill>
    </fill>
    <fill>
      <patternFill patternType="solid">
        <fgColor rgb="FFD6DCE4"/>
        <bgColor rgb="FFD6DCE4"/>
      </patternFill>
    </fill>
    <fill>
      <patternFill patternType="solid">
        <fgColor rgb="FF1E4E79"/>
        <bgColor rgb="FF1E4E79"/>
      </patternFill>
    </fill>
    <fill>
      <patternFill patternType="solid">
        <fgColor rgb="FF2F5496"/>
        <bgColor rgb="FF2F5496"/>
      </patternFill>
    </fill>
    <fill>
      <patternFill patternType="solid">
        <fgColor rgb="FF1F2985"/>
        <bgColor rgb="FF1F298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CCFF"/>
        <bgColor rgb="FFFFCCFF"/>
      </patternFill>
    </fill>
    <fill>
      <patternFill patternType="solid">
        <fgColor rgb="FFCCFFCC"/>
        <bgColor rgb="FFCCFFCC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B4C6E7"/>
      </patternFill>
    </fill>
  </fills>
  <borders count="77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1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left" vertical="top" wrapText="1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2" fillId="2" borderId="34" xfId="0" applyFont="1" applyFill="1" applyBorder="1"/>
    <xf numFmtId="0" fontId="2" fillId="2" borderId="2" xfId="0" applyFont="1" applyFill="1" applyBorder="1"/>
    <xf numFmtId="164" fontId="1" fillId="2" borderId="9" xfId="0" applyNumberFormat="1" applyFont="1" applyFill="1" applyBorder="1" applyAlignment="1">
      <alignment horizontal="center" vertic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6" fillId="2" borderId="2" xfId="0" applyFont="1" applyFill="1" applyBorder="1"/>
    <xf numFmtId="0" fontId="1" fillId="2" borderId="41" xfId="0" applyFont="1" applyFill="1" applyBorder="1"/>
    <xf numFmtId="0" fontId="2" fillId="2" borderId="42" xfId="0" applyFont="1" applyFill="1" applyBorder="1"/>
    <xf numFmtId="0" fontId="1" fillId="2" borderId="42" xfId="0" applyFont="1" applyFill="1" applyBorder="1"/>
    <xf numFmtId="0" fontId="1" fillId="2" borderId="46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47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1" fillId="0" borderId="9" xfId="0" applyFont="1" applyBorder="1"/>
    <xf numFmtId="0" fontId="2" fillId="2" borderId="2" xfId="0" applyFont="1" applyFill="1" applyBorder="1" applyAlignment="1">
      <alignment horizontal="center"/>
    </xf>
    <xf numFmtId="165" fontId="1" fillId="2" borderId="2" xfId="0" applyNumberFormat="1" applyFont="1" applyFill="1" applyBorder="1"/>
    <xf numFmtId="0" fontId="1" fillId="2" borderId="47" xfId="0" applyFont="1" applyFill="1" applyBorder="1" applyAlignment="1">
      <alignment horizontal="right"/>
    </xf>
    <xf numFmtId="0" fontId="1" fillId="2" borderId="48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6" borderId="51" xfId="0" applyFont="1" applyFill="1" applyBorder="1"/>
    <xf numFmtId="0" fontId="1" fillId="6" borderId="40" xfId="0" applyFont="1" applyFill="1" applyBorder="1"/>
    <xf numFmtId="0" fontId="1" fillId="6" borderId="52" xfId="0" applyFont="1" applyFill="1" applyBorder="1"/>
    <xf numFmtId="0" fontId="1" fillId="6" borderId="53" xfId="0" applyFont="1" applyFill="1" applyBorder="1"/>
    <xf numFmtId="0" fontId="1" fillId="6" borderId="2" xfId="0" applyFont="1" applyFill="1" applyBorder="1"/>
    <xf numFmtId="0" fontId="1" fillId="6" borderId="54" xfId="0" applyFont="1" applyFill="1" applyBorder="1"/>
    <xf numFmtId="0" fontId="1" fillId="6" borderId="55" xfId="0" applyFont="1" applyFill="1" applyBorder="1"/>
    <xf numFmtId="0" fontId="1" fillId="6" borderId="56" xfId="0" applyFont="1" applyFill="1" applyBorder="1"/>
    <xf numFmtId="0" fontId="1" fillId="6" borderId="57" xfId="0" applyFont="1" applyFill="1" applyBorder="1"/>
    <xf numFmtId="0" fontId="8" fillId="2" borderId="2" xfId="0" applyFont="1" applyFill="1" applyBorder="1"/>
    <xf numFmtId="0" fontId="10" fillId="2" borderId="2" xfId="0" applyFont="1" applyFill="1" applyBorder="1"/>
    <xf numFmtId="0" fontId="12" fillId="2" borderId="2" xfId="0" applyFont="1" applyFill="1" applyBorder="1"/>
    <xf numFmtId="0" fontId="8" fillId="0" borderId="0" xfId="0" applyFont="1"/>
    <xf numFmtId="0" fontId="17" fillId="2" borderId="2" xfId="0" applyFont="1" applyFill="1" applyBorder="1"/>
    <xf numFmtId="0" fontId="16" fillId="0" borderId="0" xfId="0" applyFont="1"/>
    <xf numFmtId="1" fontId="12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2" fontId="19" fillId="0" borderId="0" xfId="0" applyNumberFormat="1" applyFont="1" applyAlignment="1">
      <alignment horizontal="left"/>
    </xf>
    <xf numFmtId="0" fontId="19" fillId="0" borderId="0" xfId="0" applyFont="1"/>
    <xf numFmtId="1" fontId="19" fillId="0" borderId="0" xfId="0" applyNumberFormat="1" applyFont="1" applyAlignment="1">
      <alignment horizontal="center"/>
    </xf>
    <xf numFmtId="0" fontId="20" fillId="2" borderId="2" xfId="0" applyFont="1" applyFill="1" applyBorder="1"/>
    <xf numFmtId="1" fontId="20" fillId="2" borderId="2" xfId="0" applyNumberFormat="1" applyFont="1" applyFill="1" applyBorder="1" applyAlignment="1">
      <alignment horizontal="center"/>
    </xf>
    <xf numFmtId="0" fontId="2" fillId="6" borderId="2" xfId="0" applyFont="1" applyFill="1" applyBorder="1"/>
    <xf numFmtId="0" fontId="2" fillId="6" borderId="2" xfId="0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2" fontId="1" fillId="0" borderId="9" xfId="0" applyNumberFormat="1" applyFont="1" applyBorder="1"/>
    <xf numFmtId="0" fontId="2" fillId="10" borderId="2" xfId="0" applyFont="1" applyFill="1" applyBorder="1" applyAlignment="1">
      <alignment horizontal="left"/>
    </xf>
    <xf numFmtId="2" fontId="1" fillId="10" borderId="9" xfId="0" applyNumberFormat="1" applyFont="1" applyFill="1" applyBorder="1" applyAlignment="1">
      <alignment horizontal="center"/>
    </xf>
    <xf numFmtId="2" fontId="1" fillId="0" borderId="0" xfId="0" applyNumberFormat="1" applyFont="1"/>
    <xf numFmtId="2" fontId="1" fillId="0" borderId="9" xfId="0" applyNumberFormat="1" applyFont="1" applyBorder="1" applyAlignment="1">
      <alignment horizontal="center"/>
    </xf>
    <xf numFmtId="0" fontId="2" fillId="10" borderId="2" xfId="0" applyFont="1" applyFill="1" applyBorder="1" applyAlignment="1">
      <alignment horizontal="left" wrapText="1"/>
    </xf>
    <xf numFmtId="2" fontId="2" fillId="0" borderId="0" xfId="0" applyNumberFormat="1" applyFont="1"/>
    <xf numFmtId="0" fontId="1" fillId="0" borderId="0" xfId="0" applyFont="1" applyAlignment="1">
      <alignment horizontal="center"/>
    </xf>
    <xf numFmtId="2" fontId="1" fillId="6" borderId="9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7" fontId="1" fillId="0" borderId="0" xfId="0" applyNumberFormat="1" applyFont="1"/>
    <xf numFmtId="0" fontId="1" fillId="6" borderId="2" xfId="0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2" fontId="1" fillId="2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8" fontId="1" fillId="0" borderId="0" xfId="0" applyNumberFormat="1" applyFont="1"/>
    <xf numFmtId="0" fontId="1" fillId="0" borderId="28" xfId="0" applyFont="1" applyBorder="1"/>
    <xf numFmtId="1" fontId="1" fillId="0" borderId="0" xfId="0" applyNumberFormat="1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58" xfId="0" applyFont="1" applyBorder="1"/>
    <xf numFmtId="0" fontId="1" fillId="0" borderId="59" xfId="0" applyFont="1" applyBorder="1"/>
    <xf numFmtId="1" fontId="1" fillId="0" borderId="59" xfId="0" applyNumberFormat="1" applyFont="1" applyBorder="1"/>
    <xf numFmtId="0" fontId="1" fillId="0" borderId="27" xfId="0" applyFont="1" applyBorder="1"/>
    <xf numFmtId="0" fontId="1" fillId="0" borderId="29" xfId="0" applyFont="1" applyBorder="1"/>
    <xf numFmtId="0" fontId="2" fillId="0" borderId="58" xfId="0" applyFont="1" applyBorder="1"/>
    <xf numFmtId="166" fontId="1" fillId="0" borderId="0" xfId="0" applyNumberFormat="1" applyFont="1" applyAlignment="1">
      <alignment horizontal="center"/>
    </xf>
    <xf numFmtId="0" fontId="2" fillId="0" borderId="27" xfId="0" applyFont="1" applyBorder="1"/>
    <xf numFmtId="9" fontId="1" fillId="0" borderId="28" xfId="0" applyNumberFormat="1" applyFont="1" applyBorder="1" applyAlignment="1">
      <alignment horizontal="center"/>
    </xf>
    <xf numFmtId="0" fontId="2" fillId="11" borderId="9" xfId="0" applyFont="1" applyFill="1" applyBorder="1" applyAlignment="1">
      <alignment horizontal="right"/>
    </xf>
    <xf numFmtId="0" fontId="2" fillId="11" borderId="9" xfId="0" applyFont="1" applyFill="1" applyBorder="1" applyAlignment="1">
      <alignment horizontal="center"/>
    </xf>
    <xf numFmtId="0" fontId="1" fillId="11" borderId="9" xfId="0" applyFont="1" applyFill="1" applyBorder="1"/>
    <xf numFmtId="164" fontId="1" fillId="11" borderId="9" xfId="0" applyNumberFormat="1" applyFont="1" applyFill="1" applyBorder="1" applyAlignment="1">
      <alignment horizontal="center" vertical="center"/>
    </xf>
    <xf numFmtId="2" fontId="1" fillId="12" borderId="9" xfId="0" applyNumberFormat="1" applyFont="1" applyFill="1" applyBorder="1" applyAlignment="1">
      <alignment horizontal="center"/>
    </xf>
    <xf numFmtId="169" fontId="1" fillId="0" borderId="0" xfId="0" applyNumberFormat="1" applyFont="1"/>
    <xf numFmtId="0" fontId="1" fillId="0" borderId="0" xfId="0" applyFont="1" applyAlignment="1">
      <alignment horizontal="left"/>
    </xf>
    <xf numFmtId="0" fontId="2" fillId="11" borderId="9" xfId="0" applyFont="1" applyFill="1" applyBorder="1" applyAlignment="1">
      <alignment horizontal="center" wrapText="1"/>
    </xf>
    <xf numFmtId="164" fontId="1" fillId="11" borderId="9" xfId="0" applyNumberFormat="1" applyFont="1" applyFill="1" applyBorder="1"/>
    <xf numFmtId="164" fontId="1" fillId="13" borderId="9" xfId="0" applyNumberFormat="1" applyFont="1" applyFill="1" applyBorder="1" applyAlignment="1">
      <alignment horizontal="center"/>
    </xf>
    <xf numFmtId="1" fontId="1" fillId="11" borderId="9" xfId="0" applyNumberFormat="1" applyFont="1" applyFill="1" applyBorder="1" applyAlignment="1">
      <alignment horizontal="center" vertical="center"/>
    </xf>
    <xf numFmtId="164" fontId="1" fillId="11" borderId="60" xfId="0" applyNumberFormat="1" applyFont="1" applyFill="1" applyBorder="1" applyAlignment="1">
      <alignment horizontal="center" vertical="center"/>
    </xf>
    <xf numFmtId="1" fontId="1" fillId="6" borderId="2" xfId="0" applyNumberFormat="1" applyFont="1" applyFill="1" applyBorder="1"/>
    <xf numFmtId="49" fontId="1" fillId="6" borderId="2" xfId="0" applyNumberFormat="1" applyFont="1" applyFill="1" applyBorder="1"/>
    <xf numFmtId="0" fontId="1" fillId="6" borderId="2" xfId="0" applyFont="1" applyFill="1" applyBorder="1" applyAlignment="1">
      <alignment horizontal="left"/>
    </xf>
    <xf numFmtId="0" fontId="1" fillId="5" borderId="9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1" fillId="0" borderId="59" xfId="0" applyFont="1" applyBorder="1" applyAlignment="1">
      <alignment wrapText="1"/>
    </xf>
    <xf numFmtId="0" fontId="1" fillId="0" borderId="63" xfId="0" applyFont="1" applyBorder="1" applyAlignment="1">
      <alignment wrapText="1"/>
    </xf>
    <xf numFmtId="0" fontId="1" fillId="5" borderId="9" xfId="0" applyFont="1" applyFill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22" fillId="0" borderId="59" xfId="0" applyFont="1" applyBorder="1" applyAlignment="1">
      <alignment horizontal="left" vertical="center" wrapText="1"/>
    </xf>
    <xf numFmtId="0" fontId="1" fillId="0" borderId="29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1" fillId="5" borderId="9" xfId="0" applyFont="1" applyFill="1" applyBorder="1"/>
    <xf numFmtId="0" fontId="1" fillId="0" borderId="63" xfId="0" applyFont="1" applyBorder="1"/>
    <xf numFmtId="0" fontId="1" fillId="0" borderId="64" xfId="0" applyFont="1" applyBorder="1"/>
    <xf numFmtId="0" fontId="1" fillId="0" borderId="62" xfId="0" applyFont="1" applyBorder="1"/>
    <xf numFmtId="0" fontId="29" fillId="2" borderId="67" xfId="0" applyFont="1" applyFill="1" applyBorder="1"/>
    <xf numFmtId="0" fontId="30" fillId="2" borderId="67" xfId="0" applyFont="1" applyFill="1" applyBorder="1"/>
    <xf numFmtId="170" fontId="32" fillId="0" borderId="67" xfId="0" applyNumberFormat="1" applyFont="1" applyBorder="1"/>
    <xf numFmtId="1" fontId="2" fillId="14" borderId="36" xfId="0" applyNumberFormat="1" applyFont="1" applyFill="1" applyBorder="1" applyAlignment="1" applyProtection="1">
      <alignment horizontal="center" vertical="center"/>
      <protection locked="0"/>
    </xf>
    <xf numFmtId="0" fontId="1" fillId="14" borderId="9" xfId="0" applyFont="1" applyFill="1" applyBorder="1" applyAlignment="1" applyProtection="1">
      <alignment horizontal="center"/>
      <protection locked="0"/>
    </xf>
    <xf numFmtId="0" fontId="1" fillId="15" borderId="9" xfId="0" applyFont="1" applyFill="1" applyBorder="1" applyProtection="1">
      <protection locked="0"/>
    </xf>
    <xf numFmtId="164" fontId="1" fillId="14" borderId="9" xfId="0" applyNumberFormat="1" applyFont="1" applyFill="1" applyBorder="1" applyAlignment="1" applyProtection="1">
      <alignment horizontal="center" vertical="center"/>
      <protection locked="0"/>
    </xf>
    <xf numFmtId="0" fontId="1" fillId="14" borderId="9" xfId="0" applyFont="1" applyFill="1" applyBorder="1" applyAlignment="1" applyProtection="1">
      <alignment horizontal="center" vertical="center"/>
      <protection locked="0"/>
    </xf>
    <xf numFmtId="164" fontId="1" fillId="15" borderId="9" xfId="0" applyNumberFormat="1" applyFont="1" applyFill="1" applyBorder="1" applyAlignment="1" applyProtection="1">
      <alignment horizontal="center"/>
      <protection locked="0"/>
    </xf>
    <xf numFmtId="1" fontId="1" fillId="14" borderId="9" xfId="0" applyNumberFormat="1" applyFont="1" applyFill="1" applyBorder="1" applyAlignment="1" applyProtection="1">
      <alignment horizontal="center" vertical="center"/>
      <protection locked="0"/>
    </xf>
    <xf numFmtId="0" fontId="1" fillId="14" borderId="61" xfId="0" applyFont="1" applyFill="1" applyBorder="1" applyAlignment="1" applyProtection="1">
      <alignment horizontal="center" vertical="center"/>
      <protection locked="0"/>
    </xf>
    <xf numFmtId="49" fontId="2" fillId="14" borderId="9" xfId="0" applyNumberFormat="1" applyFont="1" applyFill="1" applyBorder="1" applyProtection="1">
      <protection locked="0"/>
    </xf>
    <xf numFmtId="0" fontId="10" fillId="2" borderId="68" xfId="0" applyFont="1" applyFill="1" applyBorder="1"/>
    <xf numFmtId="2" fontId="13" fillId="2" borderId="68" xfId="0" applyNumberFormat="1" applyFont="1" applyFill="1" applyBorder="1" applyAlignment="1">
      <alignment horizontal="center"/>
    </xf>
    <xf numFmtId="0" fontId="13" fillId="2" borderId="68" xfId="0" applyFont="1" applyFill="1" applyBorder="1"/>
    <xf numFmtId="0" fontId="0" fillId="0" borderId="68" xfId="0" applyBorder="1"/>
    <xf numFmtId="0" fontId="31" fillId="2" borderId="68" xfId="0" applyFont="1" applyFill="1" applyBorder="1"/>
    <xf numFmtId="2" fontId="29" fillId="14" borderId="68" xfId="0" applyNumberFormat="1" applyFont="1" applyFill="1" applyBorder="1" applyAlignment="1" applyProtection="1">
      <alignment horizontal="center"/>
      <protection locked="0"/>
    </xf>
    <xf numFmtId="170" fontId="13" fillId="2" borderId="68" xfId="0" applyNumberFormat="1" applyFont="1" applyFill="1" applyBorder="1" applyAlignment="1">
      <alignment horizontal="center"/>
    </xf>
    <xf numFmtId="2" fontId="13" fillId="14" borderId="68" xfId="0" applyNumberFormat="1" applyFont="1" applyFill="1" applyBorder="1" applyAlignment="1" applyProtection="1">
      <alignment horizontal="center"/>
      <protection locked="0"/>
    </xf>
    <xf numFmtId="1" fontId="13" fillId="2" borderId="68" xfId="0" applyNumberFormat="1" applyFont="1" applyFill="1" applyBorder="1" applyAlignment="1">
      <alignment horizontal="center"/>
    </xf>
    <xf numFmtId="0" fontId="5" fillId="0" borderId="23" xfId="0" applyFont="1" applyBorder="1"/>
    <xf numFmtId="0" fontId="2" fillId="16" borderId="9" xfId="0" applyFont="1" applyFill="1" applyBorder="1" applyProtection="1">
      <protection locked="0"/>
    </xf>
    <xf numFmtId="0" fontId="1" fillId="2" borderId="70" xfId="0" applyFont="1" applyFill="1" applyBorder="1"/>
    <xf numFmtId="0" fontId="1" fillId="2" borderId="71" xfId="0" applyFont="1" applyFill="1" applyBorder="1"/>
    <xf numFmtId="0" fontId="8" fillId="2" borderId="71" xfId="0" applyFont="1" applyFill="1" applyBorder="1"/>
    <xf numFmtId="0" fontId="1" fillId="2" borderId="72" xfId="0" applyFont="1" applyFill="1" applyBorder="1"/>
    <xf numFmtId="0" fontId="1" fillId="2" borderId="73" xfId="0" applyFont="1" applyFill="1" applyBorder="1"/>
    <xf numFmtId="0" fontId="1" fillId="2" borderId="23" xfId="0" applyFont="1" applyFill="1" applyBorder="1"/>
    <xf numFmtId="0" fontId="8" fillId="2" borderId="23" xfId="0" applyFont="1" applyFill="1" applyBorder="1"/>
    <xf numFmtId="0" fontId="1" fillId="2" borderId="74" xfId="0" applyFont="1" applyFill="1" applyBorder="1"/>
    <xf numFmtId="0" fontId="10" fillId="2" borderId="23" xfId="0" applyFont="1" applyFill="1" applyBorder="1"/>
    <xf numFmtId="0" fontId="0" fillId="0" borderId="23" xfId="0" applyBorder="1"/>
    <xf numFmtId="0" fontId="11" fillId="2" borderId="23" xfId="0" applyFont="1" applyFill="1" applyBorder="1" applyAlignment="1">
      <alignment horizontal="right"/>
    </xf>
    <xf numFmtId="0" fontId="10" fillId="2" borderId="23" xfId="0" applyFont="1" applyFill="1" applyBorder="1" applyAlignment="1">
      <alignment vertical="top"/>
    </xf>
    <xf numFmtId="0" fontId="12" fillId="2" borderId="23" xfId="0" applyFont="1" applyFill="1" applyBorder="1"/>
    <xf numFmtId="2" fontId="13" fillId="2" borderId="23" xfId="0" applyNumberFormat="1" applyFont="1" applyFill="1" applyBorder="1" applyAlignment="1">
      <alignment horizontal="center"/>
    </xf>
    <xf numFmtId="0" fontId="13" fillId="2" borderId="23" xfId="0" applyFont="1" applyFill="1" applyBorder="1"/>
    <xf numFmtId="0" fontId="12" fillId="2" borderId="23" xfId="0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0" fontId="4" fillId="2" borderId="23" xfId="0" applyFont="1" applyFill="1" applyBorder="1"/>
    <xf numFmtId="0" fontId="13" fillId="2" borderId="23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right"/>
    </xf>
    <xf numFmtId="0" fontId="15" fillId="2" borderId="23" xfId="0" applyFont="1" applyFill="1" applyBorder="1"/>
    <xf numFmtId="0" fontId="16" fillId="2" borderId="23" xfId="0" applyFont="1" applyFill="1" applyBorder="1"/>
    <xf numFmtId="0" fontId="8" fillId="0" borderId="23" xfId="0" applyFont="1" applyBorder="1"/>
    <xf numFmtId="0" fontId="0" fillId="0" borderId="74" xfId="0" applyBorder="1"/>
    <xf numFmtId="1" fontId="12" fillId="2" borderId="23" xfId="0" applyNumberFormat="1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14" fillId="2" borderId="23" xfId="0" applyFont="1" applyFill="1" applyBorder="1"/>
    <xf numFmtId="0" fontId="16" fillId="9" borderId="23" xfId="0" applyFont="1" applyFill="1" applyBorder="1"/>
    <xf numFmtId="0" fontId="18" fillId="9" borderId="23" xfId="0" applyFont="1" applyFill="1" applyBorder="1"/>
    <xf numFmtId="0" fontId="1" fillId="9" borderId="23" xfId="0" applyFont="1" applyFill="1" applyBorder="1"/>
    <xf numFmtId="164" fontId="19" fillId="0" borderId="23" xfId="0" applyNumberFormat="1" applyFont="1" applyBorder="1" applyAlignment="1">
      <alignment horizontal="left"/>
    </xf>
    <xf numFmtId="0" fontId="19" fillId="0" borderId="23" xfId="0" applyFont="1" applyBorder="1"/>
    <xf numFmtId="1" fontId="19" fillId="0" borderId="23" xfId="0" applyNumberFormat="1" applyFont="1" applyBorder="1" applyAlignment="1">
      <alignment horizontal="center"/>
    </xf>
    <xf numFmtId="164" fontId="19" fillId="0" borderId="23" xfId="0" applyNumberFormat="1" applyFont="1" applyBorder="1" applyAlignment="1">
      <alignment horizontal="center"/>
    </xf>
    <xf numFmtId="1" fontId="12" fillId="2" borderId="23" xfId="0" applyNumberFormat="1" applyFont="1" applyFill="1" applyBorder="1" applyAlignment="1">
      <alignment horizontal="right"/>
    </xf>
    <xf numFmtId="164" fontId="19" fillId="0" borderId="23" xfId="0" applyNumberFormat="1" applyFont="1" applyBorder="1"/>
    <xf numFmtId="0" fontId="20" fillId="2" borderId="23" xfId="0" applyFont="1" applyFill="1" applyBorder="1"/>
    <xf numFmtId="1" fontId="20" fillId="2" borderId="23" xfId="0" applyNumberFormat="1" applyFont="1" applyFill="1" applyBorder="1" applyAlignment="1">
      <alignment horizontal="center"/>
    </xf>
    <xf numFmtId="0" fontId="2" fillId="2" borderId="23" xfId="0" applyFont="1" applyFill="1" applyBorder="1"/>
    <xf numFmtId="1" fontId="2" fillId="2" borderId="23" xfId="0" applyNumberFormat="1" applyFont="1" applyFill="1" applyBorder="1" applyAlignment="1">
      <alignment horizontal="center"/>
    </xf>
    <xf numFmtId="0" fontId="1" fillId="2" borderId="75" xfId="0" applyFont="1" applyFill="1" applyBorder="1"/>
    <xf numFmtId="0" fontId="1" fillId="2" borderId="69" xfId="0" applyFont="1" applyFill="1" applyBorder="1"/>
    <xf numFmtId="0" fontId="8" fillId="2" borderId="69" xfId="0" applyFont="1" applyFill="1" applyBorder="1"/>
    <xf numFmtId="0" fontId="1" fillId="2" borderId="76" xfId="0" applyFont="1" applyFill="1" applyBorder="1"/>
    <xf numFmtId="170" fontId="13" fillId="14" borderId="23" xfId="0" applyNumberFormat="1" applyFont="1" applyFill="1" applyBorder="1" applyAlignment="1" applyProtection="1">
      <alignment horizontal="center"/>
      <protection locked="0"/>
    </xf>
    <xf numFmtId="0" fontId="0" fillId="0" borderId="69" xfId="0" applyBorder="1"/>
    <xf numFmtId="0" fontId="15" fillId="2" borderId="69" xfId="0" applyFont="1" applyFill="1" applyBorder="1"/>
    <xf numFmtId="0" fontId="17" fillId="2" borderId="76" xfId="0" applyFont="1" applyFill="1" applyBorder="1"/>
    <xf numFmtId="0" fontId="0" fillId="0" borderId="71" xfId="0" applyBorder="1"/>
    <xf numFmtId="0" fontId="1" fillId="0" borderId="24" xfId="0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wrapText="1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/>
    <xf numFmtId="0" fontId="5" fillId="0" borderId="69" xfId="0" applyFont="1" applyBorder="1" applyAlignment="1">
      <alignment horizontal="center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1" xfId="0" applyFont="1" applyBorder="1"/>
    <xf numFmtId="0" fontId="37" fillId="0" borderId="12" xfId="0" applyFont="1" applyBorder="1"/>
    <xf numFmtId="0" fontId="37" fillId="0" borderId="6" xfId="0" applyFont="1" applyBorder="1"/>
    <xf numFmtId="0" fontId="38" fillId="0" borderId="0" xfId="0" applyFont="1"/>
    <xf numFmtId="0" fontId="37" fillId="0" borderId="7" xfId="0" applyFont="1" applyBorder="1"/>
    <xf numFmtId="0" fontId="37" fillId="0" borderId="13" xfId="0" applyFont="1" applyBorder="1"/>
    <xf numFmtId="0" fontId="37" fillId="0" borderId="14" xfId="0" applyFont="1" applyBorder="1"/>
    <xf numFmtId="0" fontId="37" fillId="0" borderId="15" xfId="0" applyFont="1" applyBorder="1"/>
    <xf numFmtId="0" fontId="2" fillId="0" borderId="0" xfId="0" applyFont="1" applyAlignment="1">
      <alignment horizontal="center"/>
    </xf>
    <xf numFmtId="0" fontId="1" fillId="17" borderId="19" xfId="0" applyFont="1" applyFill="1" applyBorder="1" applyAlignment="1">
      <alignment horizontal="center" vertical="center" wrapText="1"/>
    </xf>
    <xf numFmtId="0" fontId="3" fillId="15" borderId="11" xfId="0" applyFont="1" applyFill="1" applyBorder="1"/>
    <xf numFmtId="0" fontId="3" fillId="15" borderId="20" xfId="0" applyFont="1" applyFill="1" applyBorder="1"/>
    <xf numFmtId="0" fontId="3" fillId="15" borderId="21" xfId="0" applyFont="1" applyFill="1" applyBorder="1"/>
    <xf numFmtId="0" fontId="0" fillId="15" borderId="0" xfId="0" applyFill="1"/>
    <xf numFmtId="0" fontId="3" fillId="15" borderId="22" xfId="0" applyFont="1" applyFill="1" applyBorder="1"/>
    <xf numFmtId="0" fontId="28" fillId="0" borderId="24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9" fillId="2" borderId="2" xfId="1" applyFill="1" applyBorder="1" applyAlignment="1" applyProtection="1">
      <alignment horizontal="left"/>
      <protection locked="0"/>
    </xf>
    <xf numFmtId="0" fontId="2" fillId="2" borderId="43" xfId="0" applyFont="1" applyFill="1" applyBorder="1" applyAlignment="1">
      <alignment horizontal="center"/>
    </xf>
    <xf numFmtId="0" fontId="3" fillId="0" borderId="44" xfId="0" applyFont="1" applyBorder="1"/>
    <xf numFmtId="0" fontId="3" fillId="0" borderId="45" xfId="0" applyFont="1" applyBorder="1"/>
    <xf numFmtId="0" fontId="1" fillId="2" borderId="16" xfId="0" applyFont="1" applyFill="1" applyBorder="1" applyAlignment="1">
      <alignment horizontal="left" wrapText="1"/>
    </xf>
    <xf numFmtId="0" fontId="4" fillId="7" borderId="16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left"/>
    </xf>
    <xf numFmtId="0" fontId="3" fillId="0" borderId="23" xfId="0" applyFont="1" applyBorder="1"/>
    <xf numFmtId="0" fontId="21" fillId="0" borderId="0" xfId="0" applyFont="1" applyAlignment="1">
      <alignment vertical="center" wrapText="1"/>
    </xf>
    <xf numFmtId="0" fontId="33" fillId="8" borderId="23" xfId="0" applyFont="1" applyFill="1" applyBorder="1" applyAlignment="1">
      <alignment horizontal="left"/>
    </xf>
    <xf numFmtId="0" fontId="1" fillId="6" borderId="24" xfId="0" applyFont="1" applyFill="1" applyBorder="1" applyAlignment="1">
      <alignment horizontal="center" vertical="center" textRotation="90" wrapText="1"/>
    </xf>
    <xf numFmtId="0" fontId="3" fillId="0" borderId="58" xfId="0" applyFont="1" applyBorder="1"/>
    <xf numFmtId="0" fontId="3" fillId="0" borderId="59" xfId="0" applyFont="1" applyBorder="1"/>
    <xf numFmtId="0" fontId="3" fillId="0" borderId="65" xfId="0" applyFont="1" applyBorder="1"/>
    <xf numFmtId="0" fontId="3" fillId="0" borderId="66" xfId="0" applyFont="1" applyBorder="1"/>
    <xf numFmtId="0" fontId="1" fillId="6" borderId="24" xfId="0" applyFont="1" applyFill="1" applyBorder="1" applyAlignment="1">
      <alignment horizontal="center"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Courbe de refroidissement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4377668248649264"/>
          <c:y val="0.17171296296296296"/>
          <c:w val="0.78316497964669574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v>Température du produit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'Calculation Sheet'!$M$143:$M$167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'Calculation Sheet'!$N$143:$N$167</c:f>
              <c:numCache>
                <c:formatCode>0.00</c:formatCode>
                <c:ptCount val="25"/>
                <c:pt idx="0" formatCode="0.0">
                  <c:v>25</c:v>
                </c:pt>
                <c:pt idx="1">
                  <c:v>14.308380110950022</c:v>
                </c:pt>
                <c:pt idx="2">
                  <c:v>9.0601285958014302</c:v>
                </c:pt>
                <c:pt idx="3">
                  <c:v>6.4838918559909011</c:v>
                </c:pt>
                <c:pt idx="4">
                  <c:v>5.2192810193355879</c:v>
                </c:pt>
                <c:pt idx="5">
                  <c:v>4.5985148671132308</c:v>
                </c:pt>
                <c:pt idx="6">
                  <c:v>4.2937961310599011</c:v>
                </c:pt>
                <c:pt idx="7">
                  <c:v>4.1442172473377124</c:v>
                </c:pt>
                <c:pt idx="8">
                  <c:v>4.0707926763862874</c:v>
                </c:pt>
                <c:pt idx="9">
                  <c:v>4.0347503722505396</c:v>
                </c:pt>
                <c:pt idx="10">
                  <c:v>4.0170580974359797</c:v>
                </c:pt>
                <c:pt idx="11">
                  <c:v>4.0083733977304616</c:v>
                </c:pt>
                <c:pt idx="12">
                  <c:v>4.0041102936488464</c:v>
                </c:pt>
                <c:pt idx="13">
                  <c:v>4.0020176413952351</c:v>
                </c:pt>
                <c:pt idx="14">
                  <c:v>4.0009904102109362</c:v>
                </c:pt>
                <c:pt idx="15">
                  <c:v>4.0004861678533379</c:v>
                </c:pt>
                <c:pt idx="16">
                  <c:v>4.0002386477633305</c:v>
                </c:pt>
                <c:pt idx="17">
                  <c:v>4.0001171462789067</c:v>
                </c:pt>
                <c:pt idx="18">
                  <c:v>4.0000575042081694</c:v>
                </c:pt>
                <c:pt idx="19">
                  <c:v>4.0000282273921801</c:v>
                </c:pt>
                <c:pt idx="20">
                  <c:v>4.0000138561280068</c:v>
                </c:pt>
                <c:pt idx="21">
                  <c:v>4.0000068016302075</c:v>
                </c:pt>
                <c:pt idx="22">
                  <c:v>4.0000033387518839</c:v>
                </c:pt>
                <c:pt idx="23">
                  <c:v>4.0000016389106436</c:v>
                </c:pt>
                <c:pt idx="24">
                  <c:v>4.0000008045006608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27-4944-B11E-6E1E165F1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961157"/>
        <c:axId val="1857913375"/>
      </c:scatterChart>
      <c:valAx>
        <c:axId val="257961157"/>
        <c:scaling>
          <c:orientation val="minMax"/>
          <c:max val="24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Temps en 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857913375"/>
        <c:crosses val="autoZero"/>
        <c:crossBetween val="midCat"/>
      </c:valAx>
      <c:valAx>
        <c:axId val="18579133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Température en °C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257961157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692650590140562"/>
          <c:y val="3.0430129423477236E-2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Charge de refroidissement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4377668248649264"/>
          <c:y val="0.17171296296296296"/>
          <c:w val="0.78316497964669574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v>Charge de refroidissement accumulée en kWh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'Calculation Sheet'!$B$175:$B$199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'Calculation Sheet'!$G$175:$G$199</c:f>
              <c:numCache>
                <c:formatCode>0.00</c:formatCode>
                <c:ptCount val="25"/>
                <c:pt idx="0">
                  <c:v>0</c:v>
                </c:pt>
                <c:pt idx="1">
                  <c:v>6.3358680874056494</c:v>
                </c:pt>
                <c:pt idx="2">
                  <c:v>9.767158924300066</c:v>
                </c:pt>
                <c:pt idx="3">
                  <c:v>11.782041959855276</c:v>
                </c:pt>
                <c:pt idx="4">
                  <c:v>13.108391534622148</c:v>
                </c:pt>
                <c:pt idx="5">
                  <c:v>14.065326733607989</c:v>
                </c:pt>
                <c:pt idx="6">
                  <c:v>14.828869079438171</c:v>
                </c:pt>
                <c:pt idx="7">
                  <c:v>15.482791979871292</c:v>
                </c:pt>
                <c:pt idx="8">
                  <c:v>16.056353317769883</c:v>
                </c:pt>
                <c:pt idx="9">
                  <c:v>16.575635418206719</c:v>
                </c:pt>
                <c:pt idx="10">
                  <c:v>17.053489466969026</c:v>
                </c:pt>
                <c:pt idx="11">
                  <c:v>17.51335060206743</c:v>
                </c:pt>
                <c:pt idx="12">
                  <c:v>17.960312615993864</c:v>
                </c:pt>
                <c:pt idx="13">
                  <c:v>18.392953134437146</c:v>
                </c:pt>
                <c:pt idx="14">
                  <c:v>18.817127940001484</c:v>
                </c:pt>
                <c:pt idx="15">
                  <c:v>19.230497109517128</c:v>
                </c:pt>
                <c:pt idx="16">
                  <c:v>19.633203623569017</c:v>
                </c:pt>
                <c:pt idx="17">
                  <c:v>20.030580067786588</c:v>
                </c:pt>
                <c:pt idx="18">
                  <c:v>20.420029694557766</c:v>
                </c:pt>
                <c:pt idx="19">
                  <c:v>20.804200615706861</c:v>
                </c:pt>
                <c:pt idx="20">
                  <c:v>21.212044332829752</c:v>
                </c:pt>
                <c:pt idx="21">
                  <c:v>21.659352120974329</c:v>
                </c:pt>
                <c:pt idx="22">
                  <c:v>22.146125980480718</c:v>
                </c:pt>
                <c:pt idx="23">
                  <c:v>22.672366893266371</c:v>
                </c:pt>
                <c:pt idx="24">
                  <c:v>23.232812941330252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90-4089-A6AB-82A654E4D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295829"/>
        <c:axId val="430451113"/>
      </c:scatterChart>
      <c:valAx>
        <c:axId val="1416295829"/>
        <c:scaling>
          <c:orientation val="minMax"/>
          <c:max val="24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Temps en 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430451113"/>
        <c:crosses val="autoZero"/>
        <c:crossBetween val="midCat"/>
      </c:valAx>
      <c:valAx>
        <c:axId val="4304511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Charge de refroidissement accumulée en kWh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416295829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825714899432884"/>
          <c:y val="2.8120443277923541E-3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de-DE" sz="1400" b="0" i="0">
                <a:solidFill>
                  <a:srgbClr val="757575"/>
                </a:solidFill>
                <a:latin typeface="+mn-lt"/>
              </a:rPr>
              <a:t>Accumulated income &amp; system costs over 20 years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9.6116457786894149E-2"/>
          <c:y val="0.1003983168724964"/>
          <c:w val="0.87745025611192107"/>
          <c:h val="0.77940709442249811"/>
        </c:manualLayout>
      </c:layout>
      <c:scatterChart>
        <c:scatterStyle val="lineMarker"/>
        <c:varyColors val="1"/>
        <c:ser>
          <c:idx val="0"/>
          <c:order val="0"/>
          <c:tx>
            <c:v>Revenu accumulé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'Calculation Sheet'!$C$92:$X$92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</c:numCache>
            </c:numRef>
          </c:xVal>
          <c:yVal>
            <c:numRef>
              <c:f>'Calculation Sheet'!$C$104:$X$104</c:f>
              <c:numCache>
                <c:formatCode>General</c:formatCode>
                <c:ptCount val="22"/>
                <c:pt idx="0">
                  <c:v>0</c:v>
                </c:pt>
                <c:pt idx="1">
                  <c:v>6000</c:v>
                </c:pt>
                <c:pt idx="2">
                  <c:v>12000</c:v>
                </c:pt>
                <c:pt idx="3">
                  <c:v>18000</c:v>
                </c:pt>
                <c:pt idx="4">
                  <c:v>24000</c:v>
                </c:pt>
                <c:pt idx="5">
                  <c:v>30000</c:v>
                </c:pt>
                <c:pt idx="6">
                  <c:v>36000</c:v>
                </c:pt>
                <c:pt idx="7">
                  <c:v>42000</c:v>
                </c:pt>
                <c:pt idx="8">
                  <c:v>48000</c:v>
                </c:pt>
                <c:pt idx="9">
                  <c:v>54000</c:v>
                </c:pt>
                <c:pt idx="10">
                  <c:v>60000</c:v>
                </c:pt>
                <c:pt idx="11">
                  <c:v>66000</c:v>
                </c:pt>
                <c:pt idx="12">
                  <c:v>72000</c:v>
                </c:pt>
                <c:pt idx="13">
                  <c:v>78000</c:v>
                </c:pt>
                <c:pt idx="14">
                  <c:v>84000</c:v>
                </c:pt>
                <c:pt idx="15">
                  <c:v>90000</c:v>
                </c:pt>
                <c:pt idx="16">
                  <c:v>96000</c:v>
                </c:pt>
                <c:pt idx="18">
                  <c:v>102000</c:v>
                </c:pt>
                <c:pt idx="19">
                  <c:v>108000</c:v>
                </c:pt>
                <c:pt idx="20">
                  <c:v>114000</c:v>
                </c:pt>
                <c:pt idx="21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3C-4C44-A2CF-C6B7438CC68E}"/>
            </c:ext>
          </c:extLst>
        </c:ser>
        <c:ser>
          <c:idx val="1"/>
          <c:order val="1"/>
          <c:tx>
            <c:v>Coûts accumulé du système sans batteries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xVal>
            <c:numRef>
              <c:f>'Calculation Sheet'!$C$92:$X$92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</c:numCache>
            </c:numRef>
          </c:xVal>
          <c:yVal>
            <c:numRef>
              <c:f>'Calculation Sheet'!$C$128:$X$128</c:f>
              <c:numCache>
                <c:formatCode>0</c:formatCode>
                <c:ptCount val="22"/>
                <c:pt idx="0">
                  <c:v>10500</c:v>
                </c:pt>
                <c:pt idx="1">
                  <c:v>10700</c:v>
                </c:pt>
                <c:pt idx="2">
                  <c:v>10906</c:v>
                </c:pt>
                <c:pt idx="3">
                  <c:v>11118.18</c:v>
                </c:pt>
                <c:pt idx="4">
                  <c:v>11336.725400000001</c:v>
                </c:pt>
                <c:pt idx="5">
                  <c:v>11561.827162000001</c:v>
                </c:pt>
                <c:pt idx="6">
                  <c:v>11793.681976860002</c:v>
                </c:pt>
                <c:pt idx="7">
                  <c:v>12032.492436165801</c:v>
                </c:pt>
                <c:pt idx="8">
                  <c:v>12278.467209250775</c:v>
                </c:pt>
                <c:pt idx="9">
                  <c:v>12531.821225528298</c:v>
                </c:pt>
                <c:pt idx="10">
                  <c:v>12792.775862294147</c:v>
                </c:pt>
                <c:pt idx="11">
                  <c:v>13061.559138162971</c:v>
                </c:pt>
                <c:pt idx="12">
                  <c:v>13338.40591230786</c:v>
                </c:pt>
                <c:pt idx="13">
                  <c:v>13623.558089677097</c:v>
                </c:pt>
                <c:pt idx="14">
                  <c:v>13917.264832367409</c:v>
                </c:pt>
                <c:pt idx="15">
                  <c:v>18114.701318840343</c:v>
                </c:pt>
                <c:pt idx="16">
                  <c:v>18426.294802160497</c:v>
                </c:pt>
                <c:pt idx="18">
                  <c:v>18747.236089980255</c:v>
                </c:pt>
                <c:pt idx="19">
                  <c:v>19077.805616434605</c:v>
                </c:pt>
                <c:pt idx="20">
                  <c:v>19418.292228682585</c:v>
                </c:pt>
                <c:pt idx="21">
                  <c:v>19768.993439298007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93C-4C44-A2CF-C6B7438CC68E}"/>
            </c:ext>
          </c:extLst>
        </c:ser>
        <c:ser>
          <c:idx val="2"/>
          <c:order val="2"/>
          <c:tx>
            <c:v>Coûts accumulé du système avec batteries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'Calculation Sheet'!$C$92:$X$92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</c:numCache>
            </c:numRef>
          </c:xVal>
          <c:yVal>
            <c:numRef>
              <c:f>'Calculation Sheet'!$C$102:$X$102</c:f>
              <c:numCache>
                <c:formatCode>0</c:formatCode>
                <c:ptCount val="22"/>
                <c:pt idx="0">
                  <c:v>33105.1</c:v>
                </c:pt>
                <c:pt idx="1">
                  <c:v>33305.1</c:v>
                </c:pt>
                <c:pt idx="2">
                  <c:v>33511.1</c:v>
                </c:pt>
                <c:pt idx="3">
                  <c:v>33723.279999999999</c:v>
                </c:pt>
                <c:pt idx="4">
                  <c:v>33941.825400000002</c:v>
                </c:pt>
                <c:pt idx="5">
                  <c:v>48715.816794464998</c:v>
                </c:pt>
                <c:pt idx="6">
                  <c:v>48947.671609325</c:v>
                </c:pt>
                <c:pt idx="7">
                  <c:v>49186.482068630801</c:v>
                </c:pt>
                <c:pt idx="8">
                  <c:v>49432.456841715772</c:v>
                </c:pt>
                <c:pt idx="9">
                  <c:v>49685.810857993296</c:v>
                </c:pt>
                <c:pt idx="10">
                  <c:v>66812.916055527865</c:v>
                </c:pt>
                <c:pt idx="11">
                  <c:v>67081.699331396696</c:v>
                </c:pt>
                <c:pt idx="12">
                  <c:v>67358.54610554158</c:v>
                </c:pt>
                <c:pt idx="13">
                  <c:v>67643.698282910816</c:v>
                </c:pt>
                <c:pt idx="14">
                  <c:v>67937.405025601125</c:v>
                </c:pt>
                <c:pt idx="15">
                  <c:v>91687.332590413658</c:v>
                </c:pt>
                <c:pt idx="16">
                  <c:v>91998.926073733805</c:v>
                </c:pt>
                <c:pt idx="18">
                  <c:v>92319.867361553566</c:v>
                </c:pt>
                <c:pt idx="19">
                  <c:v>92650.436888007913</c:v>
                </c:pt>
                <c:pt idx="20">
                  <c:v>92990.9235002559</c:v>
                </c:pt>
                <c:pt idx="21">
                  <c:v>116008.32070597247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93C-4C44-A2CF-C6B7438C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8771155"/>
        <c:axId val="812522748"/>
      </c:scatterChart>
      <c:valAx>
        <c:axId val="2138771155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sz="1000" b="0" i="0">
                    <a:solidFill>
                      <a:srgbClr val="000000"/>
                    </a:solidFill>
                    <a:latin typeface="+mn-lt"/>
                  </a:rPr>
                  <a:t>Years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812522748"/>
        <c:crosses val="autoZero"/>
        <c:crossBetween val="midCat"/>
        <c:majorUnit val="1"/>
        <c:minorUnit val="1"/>
      </c:valAx>
      <c:valAx>
        <c:axId val="8125227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b="0">
                    <a:solidFill>
                      <a:srgbClr val="000000"/>
                    </a:solidFill>
                    <a:latin typeface="+mn-lt"/>
                  </a:rPr>
                  <a:t>$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2138771155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9.7182961239568044E-2"/>
          <c:y val="0.10438421528469916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de-DE" b="0">
                <a:solidFill>
                  <a:srgbClr val="757575"/>
                </a:solidFill>
                <a:latin typeface="+mn-lt"/>
              </a:rPr>
              <a:t>Courbe de refroidissement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4377668248649264"/>
          <c:y val="0.17171296296296296"/>
          <c:w val="0.78316497964669574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v>Température du produit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'Calculation Sheet'!$M$143:$M$167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'Calculation Sheet'!$N$143:$N$167</c:f>
              <c:numCache>
                <c:formatCode>0.00</c:formatCode>
                <c:ptCount val="25"/>
                <c:pt idx="0" formatCode="0.0">
                  <c:v>25</c:v>
                </c:pt>
                <c:pt idx="1">
                  <c:v>14.308380110950022</c:v>
                </c:pt>
                <c:pt idx="2">
                  <c:v>9.0601285958014302</c:v>
                </c:pt>
                <c:pt idx="3">
                  <c:v>6.4838918559909011</c:v>
                </c:pt>
                <c:pt idx="4">
                  <c:v>5.2192810193355879</c:v>
                </c:pt>
                <c:pt idx="5">
                  <c:v>4.5985148671132308</c:v>
                </c:pt>
                <c:pt idx="6">
                  <c:v>4.2937961310599011</c:v>
                </c:pt>
                <c:pt idx="7">
                  <c:v>4.1442172473377124</c:v>
                </c:pt>
                <c:pt idx="8">
                  <c:v>4.0707926763862874</c:v>
                </c:pt>
                <c:pt idx="9">
                  <c:v>4.0347503722505396</c:v>
                </c:pt>
                <c:pt idx="10">
                  <c:v>4.0170580974359797</c:v>
                </c:pt>
                <c:pt idx="11">
                  <c:v>4.0083733977304616</c:v>
                </c:pt>
                <c:pt idx="12">
                  <c:v>4.0041102936488464</c:v>
                </c:pt>
                <c:pt idx="13">
                  <c:v>4.0020176413952351</c:v>
                </c:pt>
                <c:pt idx="14">
                  <c:v>4.0009904102109362</c:v>
                </c:pt>
                <c:pt idx="15">
                  <c:v>4.0004861678533379</c:v>
                </c:pt>
                <c:pt idx="16">
                  <c:v>4.0002386477633305</c:v>
                </c:pt>
                <c:pt idx="17">
                  <c:v>4.0001171462789067</c:v>
                </c:pt>
                <c:pt idx="18">
                  <c:v>4.0000575042081694</c:v>
                </c:pt>
                <c:pt idx="19">
                  <c:v>4.0000282273921801</c:v>
                </c:pt>
                <c:pt idx="20">
                  <c:v>4.0000138561280068</c:v>
                </c:pt>
                <c:pt idx="21">
                  <c:v>4.0000068016302075</c:v>
                </c:pt>
                <c:pt idx="22">
                  <c:v>4.0000033387518839</c:v>
                </c:pt>
                <c:pt idx="23">
                  <c:v>4.0000016389106436</c:v>
                </c:pt>
                <c:pt idx="24">
                  <c:v>4.0000008045006608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57-4263-A81F-A60F4500F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12633"/>
        <c:axId val="149961638"/>
      </c:scatterChart>
      <c:valAx>
        <c:axId val="84912633"/>
        <c:scaling>
          <c:orientation val="minMax"/>
          <c:max val="24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b="0">
                    <a:solidFill>
                      <a:srgbClr val="000000"/>
                    </a:solidFill>
                    <a:latin typeface="+mn-lt"/>
                  </a:rPr>
                  <a:t>Temps en 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49961638"/>
        <c:crosses val="autoZero"/>
        <c:crossBetween val="midCat"/>
      </c:valAx>
      <c:valAx>
        <c:axId val="1499616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b="0">
                    <a:solidFill>
                      <a:srgbClr val="000000"/>
                    </a:solidFill>
                    <a:latin typeface="+mn-lt"/>
                  </a:rPr>
                  <a:t>Température en °C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84912633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6888912690104"/>
          <c:y val="0.17410834062408864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de-DE" b="0">
                <a:solidFill>
                  <a:srgbClr val="757575"/>
                </a:solidFill>
                <a:latin typeface="+mn-lt"/>
              </a:rPr>
              <a:t>Charge de refroidissement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4377668248649264"/>
          <c:y val="0.17171296296296296"/>
          <c:w val="0.78316497964669574"/>
          <c:h val="0.62271617089530473"/>
        </c:manualLayout>
      </c:layout>
      <c:scatterChart>
        <c:scatterStyle val="lineMarker"/>
        <c:varyColors val="0"/>
        <c:ser>
          <c:idx val="0"/>
          <c:order val="0"/>
          <c:tx>
            <c:v>Charge de refroidissement accumulée en kWh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'Calculation Sheet'!$B$175:$B$199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'Calculation Sheet'!$G$175:$G$199</c:f>
              <c:numCache>
                <c:formatCode>0.00</c:formatCode>
                <c:ptCount val="25"/>
                <c:pt idx="0">
                  <c:v>0</c:v>
                </c:pt>
                <c:pt idx="1">
                  <c:v>6.3358680874056494</c:v>
                </c:pt>
                <c:pt idx="2">
                  <c:v>9.767158924300066</c:v>
                </c:pt>
                <c:pt idx="3">
                  <c:v>11.782041959855276</c:v>
                </c:pt>
                <c:pt idx="4">
                  <c:v>13.108391534622148</c:v>
                </c:pt>
                <c:pt idx="5">
                  <c:v>14.065326733607989</c:v>
                </c:pt>
                <c:pt idx="6">
                  <c:v>14.828869079438171</c:v>
                </c:pt>
                <c:pt idx="7">
                  <c:v>15.482791979871292</c:v>
                </c:pt>
                <c:pt idx="8">
                  <c:v>16.056353317769883</c:v>
                </c:pt>
                <c:pt idx="9">
                  <c:v>16.575635418206719</c:v>
                </c:pt>
                <c:pt idx="10">
                  <c:v>17.053489466969026</c:v>
                </c:pt>
                <c:pt idx="11">
                  <c:v>17.51335060206743</c:v>
                </c:pt>
                <c:pt idx="12">
                  <c:v>17.960312615993864</c:v>
                </c:pt>
                <c:pt idx="13">
                  <c:v>18.392953134437146</c:v>
                </c:pt>
                <c:pt idx="14">
                  <c:v>18.817127940001484</c:v>
                </c:pt>
                <c:pt idx="15">
                  <c:v>19.230497109517128</c:v>
                </c:pt>
                <c:pt idx="16">
                  <c:v>19.633203623569017</c:v>
                </c:pt>
                <c:pt idx="17">
                  <c:v>20.030580067786588</c:v>
                </c:pt>
                <c:pt idx="18">
                  <c:v>20.420029694557766</c:v>
                </c:pt>
                <c:pt idx="19">
                  <c:v>20.804200615706861</c:v>
                </c:pt>
                <c:pt idx="20">
                  <c:v>21.212044332829752</c:v>
                </c:pt>
                <c:pt idx="21">
                  <c:v>21.659352120974329</c:v>
                </c:pt>
                <c:pt idx="22">
                  <c:v>22.146125980480718</c:v>
                </c:pt>
                <c:pt idx="23">
                  <c:v>22.672366893266371</c:v>
                </c:pt>
                <c:pt idx="24">
                  <c:v>23.232812941330252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18-4970-BED5-099AC6A60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350877"/>
        <c:axId val="1775481169"/>
      </c:scatterChart>
      <c:valAx>
        <c:axId val="496350877"/>
        <c:scaling>
          <c:orientation val="minMax"/>
          <c:max val="24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b="0">
                    <a:solidFill>
                      <a:srgbClr val="000000"/>
                    </a:solidFill>
                    <a:latin typeface="+mn-lt"/>
                  </a:rPr>
                  <a:t>Temps en 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775481169"/>
        <c:crosses val="autoZero"/>
        <c:crossBetween val="midCat"/>
      </c:valAx>
      <c:valAx>
        <c:axId val="17754811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de-DE" b="0">
                    <a:solidFill>
                      <a:srgbClr val="000000"/>
                    </a:solidFill>
                    <a:latin typeface="+mn-lt"/>
                  </a:rPr>
                  <a:t>Charge de refroidissement accumulée en kWh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496350877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347719861729442"/>
          <c:y val="2.8120443277923541E-3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de-DE"/>
        </a:p>
      </c:txPr>
    </c:legend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tx>
            <c:v>Yes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'Calculation Sheet'!$Q$62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46-4FB6-BD62-0F96FC36B7E3}"/>
            </c:ext>
          </c:extLst>
        </c:ser>
        <c:ser>
          <c:idx val="1"/>
          <c:order val="1"/>
          <c:tx>
            <c:v>No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'Calculation Sheet'!$Q$63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946-4FB6-BD62-0F96FC36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8312548"/>
        <c:axId val="476393734"/>
      </c:barChart>
      <c:catAx>
        <c:axId val="1083125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de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476393734"/>
        <c:crosses val="autoZero"/>
        <c:auto val="1"/>
        <c:lblAlgn val="ctr"/>
        <c:lblOffset val="100"/>
        <c:noMultiLvlLbl val="1"/>
      </c:catAx>
      <c:valAx>
        <c:axId val="476393734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de-D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de-DE"/>
          </a:p>
        </c:txPr>
        <c:crossAx val="1083125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4.jpe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chart" Target="../charts/chart5.xml"/><Relationship Id="rId7" Type="http://schemas.openxmlformats.org/officeDocument/2006/relationships/image" Target="../media/image16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chart" Target="../charts/chart6.xml"/><Relationship Id="rId9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560295</xdr:colOff>
      <xdr:row>11</xdr:row>
      <xdr:rowOff>63855</xdr:rowOff>
    </xdr:from>
    <xdr:to>
      <xdr:col>8</xdr:col>
      <xdr:colOff>855234</xdr:colOff>
      <xdr:row>23</xdr:row>
      <xdr:rowOff>76038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F8C1EBD-A8C0-8C93-2653-F4DAF0066E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225"/>
        <a:stretch/>
      </xdr:blipFill>
      <xdr:spPr>
        <a:xfrm>
          <a:off x="6364942" y="2383473"/>
          <a:ext cx="3436396" cy="2029241"/>
        </a:xfrm>
        <a:prstGeom prst="rect">
          <a:avLst/>
        </a:prstGeom>
      </xdr:spPr>
    </xdr:pic>
    <xdr:clientData/>
  </xdr:twoCellAnchor>
  <xdr:twoCellAnchor editAs="oneCell">
    <xdr:from>
      <xdr:col>4</xdr:col>
      <xdr:colOff>115644</xdr:colOff>
      <xdr:row>57</xdr:row>
      <xdr:rowOff>186715</xdr:rowOff>
    </xdr:from>
    <xdr:to>
      <xdr:col>6</xdr:col>
      <xdr:colOff>303790</xdr:colOff>
      <xdr:row>57</xdr:row>
      <xdr:rowOff>549648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30F38B1-AA92-D889-807B-C097389B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997" y="8983333"/>
          <a:ext cx="1756969" cy="370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534299</xdr:colOff>
      <xdr:row>57</xdr:row>
      <xdr:rowOff>66403</xdr:rowOff>
    </xdr:from>
    <xdr:to>
      <xdr:col>9</xdr:col>
      <xdr:colOff>188821</xdr:colOff>
      <xdr:row>57</xdr:row>
      <xdr:rowOff>631312</xdr:rowOff>
    </xdr:to>
    <xdr:pic>
      <xdr:nvPicPr>
        <xdr:cNvPr id="5" name="Grafik 4" descr="Alle Info über die GIZ - Welthungerhilfe">
          <a:extLst>
            <a:ext uri="{FF2B5EF4-FFF2-40B4-BE49-F238E27FC236}">
              <a16:creationId xmlns:a16="http://schemas.microsoft.com/office/drawing/2014/main" id="{70124F86-7F8E-EA1D-41C3-2F503F6C88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86" b="26352"/>
        <a:stretch/>
      </xdr:blipFill>
      <xdr:spPr bwMode="auto">
        <a:xfrm>
          <a:off x="6204475" y="8863021"/>
          <a:ext cx="2355140" cy="574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771301</xdr:colOff>
      <xdr:row>1</xdr:row>
      <xdr:rowOff>113965</xdr:rowOff>
    </xdr:from>
    <xdr:to>
      <xdr:col>11</xdr:col>
      <xdr:colOff>627305</xdr:colOff>
      <xdr:row>6</xdr:row>
      <xdr:rowOff>55428</xdr:rowOff>
    </xdr:to>
    <xdr:pic>
      <xdr:nvPicPr>
        <xdr:cNvPr id="6" name="Grafik 5" descr="Solar Cooling Engineering | Your technichal partner for sustainable cooling">
          <a:extLst>
            <a:ext uri="{FF2B5EF4-FFF2-40B4-BE49-F238E27FC236}">
              <a16:creationId xmlns:a16="http://schemas.microsoft.com/office/drawing/2014/main" id="{C4BE2A60-CFD1-C456-AC99-0F57176B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301" y="282053"/>
          <a:ext cx="2556622" cy="78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81916</xdr:colOff>
      <xdr:row>15</xdr:row>
      <xdr:rowOff>38100</xdr:rowOff>
    </xdr:from>
    <xdr:to>
      <xdr:col>10</xdr:col>
      <xdr:colOff>472440</xdr:colOff>
      <xdr:row>31</xdr:row>
      <xdr:rowOff>54739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DF39DE-6BC4-1F76-101B-A9FCC539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3866" y="2609850"/>
          <a:ext cx="5850254" cy="2763649"/>
        </a:xfrm>
        <a:prstGeom prst="rect">
          <a:avLst/>
        </a:prstGeom>
      </xdr:spPr>
    </xdr:pic>
    <xdr:clientData/>
  </xdr:twoCellAnchor>
  <xdr:twoCellAnchor editAs="oneCell">
    <xdr:from>
      <xdr:col>11</xdr:col>
      <xdr:colOff>384622</xdr:colOff>
      <xdr:row>1</xdr:row>
      <xdr:rowOff>114300</xdr:rowOff>
    </xdr:from>
    <xdr:to>
      <xdr:col>14</xdr:col>
      <xdr:colOff>632459</xdr:colOff>
      <xdr:row>6</xdr:row>
      <xdr:rowOff>57150</xdr:rowOff>
    </xdr:to>
    <xdr:pic>
      <xdr:nvPicPr>
        <xdr:cNvPr id="6" name="Grafik 5" descr="Solar Cooling Engineering | Your technichal partner for sustainable cooling">
          <a:extLst>
            <a:ext uri="{FF2B5EF4-FFF2-40B4-BE49-F238E27FC236}">
              <a16:creationId xmlns:a16="http://schemas.microsoft.com/office/drawing/2014/main" id="{5DCFFCFC-5B8D-AAAB-D793-A633D9B5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4972" y="285750"/>
          <a:ext cx="2600512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281941</xdr:colOff>
      <xdr:row>5</xdr:row>
      <xdr:rowOff>129541</xdr:rowOff>
    </xdr:from>
    <xdr:to>
      <xdr:col>6</xdr:col>
      <xdr:colOff>173356</xdr:colOff>
      <xdr:row>24</xdr:row>
      <xdr:rowOff>55318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573F5F-8BBC-C93A-64E1-0F15A878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4191" y="1586866"/>
          <a:ext cx="1948815" cy="1781247"/>
        </a:xfrm>
        <a:prstGeom prst="rect">
          <a:avLst/>
        </a:prstGeom>
      </xdr:spPr>
    </xdr:pic>
    <xdr:clientData/>
  </xdr:twoCellAnchor>
  <xdr:twoCellAnchor editAs="oneCell">
    <xdr:from>
      <xdr:col>4</xdr:col>
      <xdr:colOff>5715</xdr:colOff>
      <xdr:row>49</xdr:row>
      <xdr:rowOff>15241</xdr:rowOff>
    </xdr:from>
    <xdr:to>
      <xdr:col>6</xdr:col>
      <xdr:colOff>192405</xdr:colOff>
      <xdr:row>55</xdr:row>
      <xdr:rowOff>16723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2080FFA-DBCE-C022-1D08-6AD0D7452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7965" y="4520566"/>
          <a:ext cx="2244090" cy="1024467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142876</xdr:colOff>
      <xdr:row>2</xdr:row>
      <xdr:rowOff>120015</xdr:rowOff>
    </xdr:from>
    <xdr:to>
      <xdr:col>14</xdr:col>
      <xdr:colOff>325756</xdr:colOff>
      <xdr:row>5</xdr:row>
      <xdr:rowOff>168380</xdr:rowOff>
    </xdr:to>
    <xdr:pic>
      <xdr:nvPicPr>
        <xdr:cNvPr id="8" name="Grafik 7" descr="Solar Cooling Engineering | Your technichal partner for sustainable cooling">
          <a:extLst>
            <a:ext uri="{FF2B5EF4-FFF2-40B4-BE49-F238E27FC236}">
              <a16:creationId xmlns:a16="http://schemas.microsoft.com/office/drawing/2014/main" id="{A86EF73D-F9C0-AA86-39FC-CF22CF41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1" y="1062990"/>
          <a:ext cx="1844040" cy="555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344059</xdr:colOff>
      <xdr:row>23</xdr:row>
      <xdr:rowOff>29320</xdr:rowOff>
    </xdr:from>
    <xdr:to>
      <xdr:col>12</xdr:col>
      <xdr:colOff>298174</xdr:colOff>
      <xdr:row>50</xdr:row>
      <xdr:rowOff>61103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AF2A377-B62F-7357-A338-84BBE3290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74776" y="2472690"/>
          <a:ext cx="1171659" cy="15971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5</xdr:row>
      <xdr:rowOff>0</xdr:rowOff>
    </xdr:from>
    <xdr:ext cx="7620000" cy="4324350"/>
    <xdr:graphicFrame macro="">
      <xdr:nvGraphicFramePr>
        <xdr:cNvPr id="1896334840" name="Chart 1">
          <a:extLst>
            <a:ext uri="{FF2B5EF4-FFF2-40B4-BE49-F238E27FC236}">
              <a16:creationId xmlns:a16="http://schemas.microsoft.com/office/drawing/2014/main" id="{00000000-0008-0000-0300-0000F8C50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752475</xdr:colOff>
      <xdr:row>33</xdr:row>
      <xdr:rowOff>0</xdr:rowOff>
    </xdr:from>
    <xdr:ext cx="7620000" cy="4324350"/>
    <xdr:graphicFrame macro="">
      <xdr:nvGraphicFramePr>
        <xdr:cNvPr id="1971273499" name="Chart 2">
          <a:extLst>
            <a:ext uri="{FF2B5EF4-FFF2-40B4-BE49-F238E27FC236}">
              <a16:creationId xmlns:a16="http://schemas.microsoft.com/office/drawing/2014/main" id="{00000000-0008-0000-0300-00001B3F7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31024</xdr:colOff>
      <xdr:row>1</xdr:row>
      <xdr:rowOff>235133</xdr:rowOff>
    </xdr:from>
    <xdr:to>
      <xdr:col>3</xdr:col>
      <xdr:colOff>1930490</xdr:colOff>
      <xdr:row>1</xdr:row>
      <xdr:rowOff>1248047</xdr:rowOff>
    </xdr:to>
    <xdr:pic>
      <xdr:nvPicPr>
        <xdr:cNvPr id="2" name="Grafik 1" descr="Solar Cooling Engineering | Your technichal partner for sustainable cooling">
          <a:extLst>
            <a:ext uri="{FF2B5EF4-FFF2-40B4-BE49-F238E27FC236}">
              <a16:creationId xmlns:a16="http://schemas.microsoft.com/office/drawing/2014/main" id="{1FE0F285-DE12-2343-6878-E2EC296E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738" y="425633"/>
          <a:ext cx="3263991" cy="101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966108</xdr:colOff>
      <xdr:row>1</xdr:row>
      <xdr:rowOff>153172</xdr:rowOff>
    </xdr:from>
    <xdr:to>
      <xdr:col>14</xdr:col>
      <xdr:colOff>441146</xdr:colOff>
      <xdr:row>13</xdr:row>
      <xdr:rowOff>152521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D525746-E8C7-A90B-0590-EA9F97C1C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9465" y="343672"/>
          <a:ext cx="8551002" cy="4190349"/>
        </a:xfrm>
        <a:prstGeom prst="rect">
          <a:avLst/>
        </a:prstGeom>
      </xdr:spPr>
    </xdr:pic>
    <xdr:clientData/>
  </xdr:twoCellAnchor>
  <xdr:twoCellAnchor editAs="oneCell">
    <xdr:from>
      <xdr:col>2</xdr:col>
      <xdr:colOff>277859</xdr:colOff>
      <xdr:row>16</xdr:row>
      <xdr:rowOff>167096</xdr:rowOff>
    </xdr:from>
    <xdr:to>
      <xdr:col>3</xdr:col>
      <xdr:colOff>1079855</xdr:colOff>
      <xdr:row>37</xdr:row>
      <xdr:rowOff>140557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7C97860-FC52-CECE-2063-EFC6C074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8573" y="5324203"/>
          <a:ext cx="2160806" cy="3771759"/>
        </a:xfrm>
        <a:prstGeom prst="rect">
          <a:avLst/>
        </a:prstGeom>
      </xdr:spPr>
    </xdr:pic>
    <xdr:clientData/>
  </xdr:twoCellAnchor>
  <xdr:twoCellAnchor editAs="oneCell">
    <xdr:from>
      <xdr:col>5</xdr:col>
      <xdr:colOff>534489</xdr:colOff>
      <xdr:row>19</xdr:row>
      <xdr:rowOff>37010</xdr:rowOff>
    </xdr:from>
    <xdr:to>
      <xdr:col>6</xdr:col>
      <xdr:colOff>210094</xdr:colOff>
      <xdr:row>33</xdr:row>
      <xdr:rowOff>17248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31C16C5-6520-9DF1-1295-117B50EA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7846" y="5806439"/>
          <a:ext cx="1598022" cy="2460548"/>
        </a:xfrm>
        <a:prstGeom prst="rect">
          <a:avLst/>
        </a:prstGeom>
      </xdr:spPr>
    </xdr:pic>
    <xdr:clientData/>
  </xdr:twoCellAnchor>
  <xdr:twoCellAnchor editAs="oneCell">
    <xdr:from>
      <xdr:col>8</xdr:col>
      <xdr:colOff>435429</xdr:colOff>
      <xdr:row>18</xdr:row>
      <xdr:rowOff>21227</xdr:rowOff>
    </xdr:from>
    <xdr:to>
      <xdr:col>10</xdr:col>
      <xdr:colOff>264689</xdr:colOff>
      <xdr:row>32</xdr:row>
      <xdr:rowOff>130357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D25BC56B-E4BE-A776-B878-A2F1C4358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6322" y="5613763"/>
          <a:ext cx="1666224" cy="2589440"/>
        </a:xfrm>
        <a:prstGeom prst="rect">
          <a:avLst/>
        </a:prstGeom>
      </xdr:spPr>
    </xdr:pic>
    <xdr:clientData/>
  </xdr:twoCellAnchor>
  <xdr:twoCellAnchor editAs="oneCell">
    <xdr:from>
      <xdr:col>12</xdr:col>
      <xdr:colOff>375014</xdr:colOff>
      <xdr:row>19</xdr:row>
      <xdr:rowOff>81643</xdr:rowOff>
    </xdr:from>
    <xdr:to>
      <xdr:col>13</xdr:col>
      <xdr:colOff>521022</xdr:colOff>
      <xdr:row>32</xdr:row>
      <xdr:rowOff>5715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A51E355D-C5C0-37FE-CBBC-48C299621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88835" y="5851072"/>
          <a:ext cx="1413378" cy="22217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9525</xdr:colOff>
      <xdr:row>91</xdr:row>
      <xdr:rowOff>76200</xdr:rowOff>
    </xdr:from>
    <xdr:ext cx="7772400" cy="4819650"/>
    <xdr:graphicFrame macro="">
      <xdr:nvGraphicFramePr>
        <xdr:cNvPr id="968176169" name="Chart 4">
          <a:extLst>
            <a:ext uri="{FF2B5EF4-FFF2-40B4-BE49-F238E27FC236}">
              <a16:creationId xmlns:a16="http://schemas.microsoft.com/office/drawing/2014/main" id="{00000000-0008-0000-0500-00002932B5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9525</xdr:colOff>
      <xdr:row>141</xdr:row>
      <xdr:rowOff>9525</xdr:rowOff>
    </xdr:from>
    <xdr:ext cx="5562600" cy="2657475"/>
    <xdr:graphicFrame macro="">
      <xdr:nvGraphicFramePr>
        <xdr:cNvPr id="102946288" name="Chart 5">
          <a:extLst>
            <a:ext uri="{FF2B5EF4-FFF2-40B4-BE49-F238E27FC236}">
              <a16:creationId xmlns:a16="http://schemas.microsoft.com/office/drawing/2014/main" id="{00000000-0008-0000-0500-0000F0D52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333375</xdr:colOff>
      <xdr:row>174</xdr:row>
      <xdr:rowOff>123825</xdr:rowOff>
    </xdr:from>
    <xdr:ext cx="4752975" cy="2667000"/>
    <xdr:graphicFrame macro="">
      <xdr:nvGraphicFramePr>
        <xdr:cNvPr id="1069915186" name="Chart 6">
          <a:extLst>
            <a:ext uri="{FF2B5EF4-FFF2-40B4-BE49-F238E27FC236}">
              <a16:creationId xmlns:a16="http://schemas.microsoft.com/office/drawing/2014/main" id="{00000000-0008-0000-0500-0000329CC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17</xdr:col>
      <xdr:colOff>771525</xdr:colOff>
      <xdr:row>45</xdr:row>
      <xdr:rowOff>171450</xdr:rowOff>
    </xdr:from>
    <xdr:ext cx="5467350" cy="3124200"/>
    <xdr:graphicFrame macro="">
      <xdr:nvGraphicFramePr>
        <xdr:cNvPr id="1736763216" name="Chart 7">
          <a:extLst>
            <a:ext uri="{FF2B5EF4-FFF2-40B4-BE49-F238E27FC236}">
              <a16:creationId xmlns:a16="http://schemas.microsoft.com/office/drawing/2014/main" id="{00000000-0008-0000-0500-000050E78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6</xdr:col>
      <xdr:colOff>514350</xdr:colOff>
      <xdr:row>46</xdr:row>
      <xdr:rowOff>123825</xdr:rowOff>
    </xdr:from>
    <xdr:ext cx="5457825" cy="1524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621850" y="3022763"/>
          <a:ext cx="5448300" cy="1514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/>
        </a:p>
      </xdr:txBody>
    </xdr:sp>
    <xdr:clientData fLocksWithSheet="0"/>
  </xdr:oneCellAnchor>
  <xdr:oneCellAnchor>
    <xdr:from>
      <xdr:col>7</xdr:col>
      <xdr:colOff>438150</xdr:colOff>
      <xdr:row>32</xdr:row>
      <xdr:rowOff>95250</xdr:rowOff>
    </xdr:from>
    <xdr:ext cx="2571750" cy="361950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276225</xdr:colOff>
      <xdr:row>35</xdr:row>
      <xdr:rowOff>104775</xdr:rowOff>
    </xdr:from>
    <xdr:ext cx="2619375" cy="628650"/>
    <xdr:pic>
      <xdr:nvPicPr>
        <xdr:cNvPr id="4" name="image15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228600</xdr:colOff>
      <xdr:row>39</xdr:row>
      <xdr:rowOff>95250</xdr:rowOff>
    </xdr:from>
    <xdr:ext cx="1962150" cy="295275"/>
    <xdr:pic>
      <xdr:nvPicPr>
        <xdr:cNvPr id="5" name="image16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173</xdr:row>
      <xdr:rowOff>161925</xdr:rowOff>
    </xdr:from>
    <xdr:ext cx="2933700" cy="2686050"/>
    <xdr:pic>
      <xdr:nvPicPr>
        <xdr:cNvPr id="6" name="image16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752475</xdr:colOff>
      <xdr:row>148</xdr:row>
      <xdr:rowOff>38100</xdr:rowOff>
    </xdr:from>
    <xdr:ext cx="3667125" cy="1428750"/>
    <xdr:pic>
      <xdr:nvPicPr>
        <xdr:cNvPr id="7" name="image10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609600</xdr:colOff>
      <xdr:row>159</xdr:row>
      <xdr:rowOff>66675</xdr:rowOff>
    </xdr:from>
    <xdr:ext cx="2295525" cy="1809750"/>
    <xdr:pic>
      <xdr:nvPicPr>
        <xdr:cNvPr id="8" name="image14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1</xdr:row>
      <xdr:rowOff>156882</xdr:rowOff>
    </xdr:from>
    <xdr:to>
      <xdr:col>4</xdr:col>
      <xdr:colOff>18602</xdr:colOff>
      <xdr:row>2</xdr:row>
      <xdr:rowOff>73450</xdr:rowOff>
    </xdr:to>
    <xdr:pic>
      <xdr:nvPicPr>
        <xdr:cNvPr id="2" name="Grafik 1" descr="Solar Cooling Engineering | Your technichal partner for sustainable cooling">
          <a:extLst>
            <a:ext uri="{FF2B5EF4-FFF2-40B4-BE49-F238E27FC236}">
              <a16:creationId xmlns:a16="http://schemas.microsoft.com/office/drawing/2014/main" id="{3370F102-3F92-C895-6D80-313E4804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265" y="616323"/>
          <a:ext cx="2745441" cy="846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olar-cooling-engineering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.jrc.ec.europa.eu/pvg_tools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A989"/>
  <sheetViews>
    <sheetView showGridLines="0" tabSelected="1" zoomScale="85" zoomScaleNormal="85" workbookViewId="0">
      <selection activeCell="F4" sqref="F4"/>
    </sheetView>
  </sheetViews>
  <sheetFormatPr baseColWidth="10" defaultColWidth="14.42578125" defaultRowHeight="15" customHeight="1"/>
  <cols>
    <col min="1" max="1" width="25.42578125" customWidth="1"/>
    <col min="2" max="8" width="11.42578125" customWidth="1"/>
    <col min="9" max="9" width="16.5703125" customWidth="1"/>
    <col min="10" max="27" width="11.42578125" customWidth="1"/>
  </cols>
  <sheetData>
    <row r="1" spans="2:27" ht="14.2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4.2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4.25" customHeight="1">
      <c r="B3" s="6"/>
      <c r="L3" s="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14.25" customHeight="1">
      <c r="B4" s="6"/>
      <c r="E4" s="8" t="s">
        <v>0</v>
      </c>
      <c r="F4" s="152" t="s">
        <v>1</v>
      </c>
      <c r="L4" s="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14.25" customHeight="1">
      <c r="B5" s="6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4.25" customHeight="1">
      <c r="B6" s="6"/>
      <c r="L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>
      <c r="B7" s="6"/>
      <c r="L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37.5" customHeight="1">
      <c r="B8" s="215" t="str">
        <f>Translation!B6</f>
        <v>Solar Powered Cold &amp; Freezing Rooms with Monoblocs
Design Toolbox</v>
      </c>
      <c r="C8" s="216"/>
      <c r="D8" s="216"/>
      <c r="E8" s="216"/>
      <c r="F8" s="216"/>
      <c r="G8" s="216"/>
      <c r="H8" s="216"/>
      <c r="I8" s="216"/>
      <c r="J8" s="216"/>
      <c r="K8" s="216"/>
      <c r="L8" s="21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30.75" customHeight="1">
      <c r="B9" s="218"/>
      <c r="C9" s="219"/>
      <c r="D9" s="219"/>
      <c r="E9" s="219"/>
      <c r="F9" s="219"/>
      <c r="G9" s="219"/>
      <c r="H9" s="219"/>
      <c r="I9" s="219"/>
      <c r="J9" s="219"/>
      <c r="K9" s="219"/>
      <c r="L9" s="220"/>
      <c r="M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14.25" customHeight="1">
      <c r="B10" s="218"/>
      <c r="C10" s="219"/>
      <c r="D10" s="219"/>
      <c r="E10" s="219"/>
      <c r="F10" s="219"/>
      <c r="G10" s="219"/>
      <c r="H10" s="219"/>
      <c r="I10" s="219"/>
      <c r="J10" s="219"/>
      <c r="K10" s="219"/>
      <c r="L10" s="22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8.25" customHeight="1">
      <c r="B11" s="221"/>
      <c r="C11" s="222"/>
      <c r="D11" s="222"/>
      <c r="E11" s="222"/>
      <c r="F11" s="222"/>
      <c r="G11" s="222"/>
      <c r="H11" s="222"/>
      <c r="I11" s="222"/>
      <c r="J11" s="222"/>
      <c r="K11" s="222"/>
      <c r="L11" s="22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>
      <c r="B12" s="6"/>
      <c r="L12" s="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>
      <c r="B13" s="6"/>
      <c r="L13" s="7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4.25" customHeight="1">
      <c r="B14" s="6"/>
      <c r="L14" s="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4.25" customHeight="1">
      <c r="B15" s="6"/>
      <c r="L15" s="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>
      <c r="B16" s="6"/>
      <c r="L16" s="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>
      <c r="B17" s="6"/>
      <c r="L17" s="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>
      <c r="B18" s="6"/>
      <c r="L18" s="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>
      <c r="B19" s="6"/>
      <c r="L19" s="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>
      <c r="B20" s="6"/>
      <c r="L20" s="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4.25" customHeight="1">
      <c r="B21" s="6"/>
      <c r="L21" s="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4.25" customHeight="1">
      <c r="B22" s="6"/>
      <c r="L22" s="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>
      <c r="B23" s="6"/>
      <c r="L23" s="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>
      <c r="B24" s="6"/>
      <c r="L24" s="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>
      <c r="B25" s="6"/>
      <c r="D25" s="224" t="str">
        <f>Translation!B8</f>
        <v>Introduction</v>
      </c>
      <c r="E25" s="213"/>
      <c r="F25" s="213"/>
      <c r="G25" s="213"/>
      <c r="H25" s="213"/>
      <c r="I25" s="213"/>
      <c r="J25" s="213"/>
      <c r="L25" s="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5" customHeight="1">
      <c r="B26" s="6"/>
      <c r="D26" s="212" t="str">
        <f>Translation!B9</f>
        <v>This tool calculates the required solar system for a cold/freezing room run by monoblocs. Exemplary data is filled and can be modified by own data</v>
      </c>
      <c r="E26" s="213"/>
      <c r="F26" s="213"/>
      <c r="G26" s="213"/>
      <c r="H26" s="213"/>
      <c r="I26" s="213"/>
      <c r="J26" s="213"/>
      <c r="L26" s="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>
      <c r="B27" s="6"/>
      <c r="D27" s="213"/>
      <c r="E27" s="213"/>
      <c r="F27" s="213"/>
      <c r="G27" s="213"/>
      <c r="H27" s="213"/>
      <c r="I27" s="213"/>
      <c r="J27" s="213"/>
      <c r="L27" s="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>
      <c r="B28" s="6"/>
      <c r="D28" s="213"/>
      <c r="E28" s="213"/>
      <c r="F28" s="213"/>
      <c r="G28" s="213"/>
      <c r="H28" s="213"/>
      <c r="I28" s="213"/>
      <c r="J28" s="213"/>
      <c r="L28" s="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>
      <c r="B29" s="6"/>
      <c r="D29" s="9"/>
      <c r="E29" s="9"/>
      <c r="F29" s="9"/>
      <c r="G29" s="9"/>
      <c r="H29" s="9"/>
      <c r="I29" s="9"/>
      <c r="L29" s="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>
      <c r="B30" s="6"/>
      <c r="D30" s="224" t="str">
        <f>Translation!B10</f>
        <v>Tips &amp; Tricks</v>
      </c>
      <c r="E30" s="213"/>
      <c r="F30" s="213"/>
      <c r="G30" s="213"/>
      <c r="H30" s="213"/>
      <c r="I30" s="213"/>
      <c r="J30" s="213"/>
      <c r="L30" s="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5" customHeight="1">
      <c r="B31" s="6"/>
      <c r="D31" s="225" t="str">
        <f>Translation!B11</f>
        <v xml:space="preserve">Enter values into coloured cells only!
None entry cells are protected. 
</v>
      </c>
      <c r="E31" s="226"/>
      <c r="F31" s="226"/>
      <c r="G31" s="226"/>
      <c r="H31" s="226"/>
      <c r="I31" s="226"/>
      <c r="J31" s="227"/>
      <c r="L31" s="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>
      <c r="B32" s="6"/>
      <c r="D32" s="228"/>
      <c r="E32" s="229"/>
      <c r="F32" s="229"/>
      <c r="G32" s="229"/>
      <c r="H32" s="229"/>
      <c r="I32" s="229"/>
      <c r="J32" s="230"/>
      <c r="L32" s="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>
      <c r="B33" s="6"/>
      <c r="L33" s="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>
      <c r="B34" s="6"/>
      <c r="L34" s="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>
      <c r="B35" s="6"/>
      <c r="D35" s="224" t="str">
        <f>Translation!B12</f>
        <v>Overview of the following sheets</v>
      </c>
      <c r="E35" s="213"/>
      <c r="F35" s="213"/>
      <c r="G35" s="213"/>
      <c r="H35" s="213"/>
      <c r="I35" s="213"/>
      <c r="J35" s="213"/>
      <c r="L35" s="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5" customHeight="1">
      <c r="B36" s="6"/>
      <c r="D36" s="209" t="str">
        <f>Translation!B13</f>
        <v>1. Geographic Data</v>
      </c>
      <c r="E36" s="204"/>
      <c r="F36" s="205"/>
      <c r="G36" s="210" t="s">
        <v>2</v>
      </c>
      <c r="H36" s="204"/>
      <c r="I36" s="204"/>
      <c r="J36" s="205"/>
      <c r="L36" s="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>
      <c r="B37" s="6"/>
      <c r="D37" s="206"/>
      <c r="E37" s="207"/>
      <c r="F37" s="208"/>
      <c r="G37" s="206"/>
      <c r="H37" s="207"/>
      <c r="I37" s="207"/>
      <c r="J37" s="208"/>
      <c r="L37" s="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5" customHeight="1">
      <c r="B38" s="6"/>
      <c r="D38" s="209" t="str">
        <f>Translation!B14</f>
        <v>2. Input</v>
      </c>
      <c r="E38" s="204"/>
      <c r="F38" s="205"/>
      <c r="G38" s="211" t="str">
        <f>Translation!B21</f>
        <v>For adding data about the product to be cooled under given conditions</v>
      </c>
      <c r="H38" s="204"/>
      <c r="I38" s="204"/>
      <c r="J38" s="205"/>
      <c r="L38" s="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>
      <c r="B39" s="6"/>
      <c r="D39" s="206"/>
      <c r="E39" s="207"/>
      <c r="F39" s="208"/>
      <c r="G39" s="206"/>
      <c r="H39" s="207"/>
      <c r="I39" s="207"/>
      <c r="J39" s="208"/>
      <c r="L39" s="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5" hidden="1" customHeight="1">
      <c r="B40" s="6"/>
      <c r="D40" s="209"/>
      <c r="E40" s="204"/>
      <c r="F40" s="205"/>
      <c r="G40" s="203"/>
      <c r="H40" s="204"/>
      <c r="I40" s="204"/>
      <c r="J40" s="205"/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hidden="1" customHeight="1">
      <c r="B41" s="6"/>
      <c r="D41" s="206"/>
      <c r="E41" s="207"/>
      <c r="F41" s="208"/>
      <c r="G41" s="206"/>
      <c r="H41" s="207"/>
      <c r="I41" s="207"/>
      <c r="J41" s="208"/>
      <c r="L41" s="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>
      <c r="B42" s="6"/>
      <c r="D42" s="209" t="s">
        <v>3</v>
      </c>
      <c r="E42" s="204"/>
      <c r="F42" s="205"/>
      <c r="G42" s="203" t="s">
        <v>4</v>
      </c>
      <c r="H42" s="204"/>
      <c r="I42" s="204"/>
      <c r="J42" s="205"/>
      <c r="L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>
      <c r="B43" s="6"/>
      <c r="D43" s="206"/>
      <c r="E43" s="207"/>
      <c r="F43" s="208"/>
      <c r="G43" s="206"/>
      <c r="H43" s="207"/>
      <c r="I43" s="207"/>
      <c r="J43" s="208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>
      <c r="B44" s="6"/>
      <c r="D44" s="231" t="s">
        <v>471</v>
      </c>
      <c r="E44" s="204"/>
      <c r="F44" s="205"/>
      <c r="G44" s="203" t="s">
        <v>5</v>
      </c>
      <c r="H44" s="204"/>
      <c r="I44" s="204"/>
      <c r="J44" s="205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>
      <c r="B45" s="6"/>
      <c r="D45" s="206"/>
      <c r="E45" s="207"/>
      <c r="F45" s="208"/>
      <c r="G45" s="206"/>
      <c r="H45" s="207"/>
      <c r="I45" s="207"/>
      <c r="J45" s="208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>
      <c r="B46" s="6"/>
      <c r="D46" s="209" t="s">
        <v>6</v>
      </c>
      <c r="E46" s="204"/>
      <c r="F46" s="205"/>
      <c r="G46" s="203" t="s">
        <v>7</v>
      </c>
      <c r="H46" s="204"/>
      <c r="I46" s="204"/>
      <c r="J46" s="205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>
      <c r="B47" s="6"/>
      <c r="D47" s="206"/>
      <c r="E47" s="207"/>
      <c r="F47" s="208"/>
      <c r="G47" s="206"/>
      <c r="H47" s="207"/>
      <c r="I47" s="207"/>
      <c r="J47" s="208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hidden="1" customHeight="1">
      <c r="B48" s="6"/>
      <c r="D48" s="209" t="str">
        <f>Translation!B17</f>
        <v>5. Weather Data</v>
      </c>
      <c r="E48" s="204"/>
      <c r="F48" s="205"/>
      <c r="G48" s="203" t="str">
        <f>Translation!B24</f>
        <v>To add weather data for a specific location</v>
      </c>
      <c r="H48" s="204"/>
      <c r="I48" s="204"/>
      <c r="J48" s="205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4.25" hidden="1" customHeight="1">
      <c r="B49" s="6"/>
      <c r="D49" s="206"/>
      <c r="E49" s="207"/>
      <c r="F49" s="208"/>
      <c r="G49" s="206"/>
      <c r="H49" s="207"/>
      <c r="I49" s="207"/>
      <c r="J49" s="208"/>
      <c r="L49" s="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5" hidden="1" customHeight="1">
      <c r="B50" s="6"/>
      <c r="D50" s="209" t="str">
        <f>Translation!B18</f>
        <v>Calculation Sheet (Hidden)</v>
      </c>
      <c r="E50" s="204"/>
      <c r="F50" s="205"/>
      <c r="G50" s="203" t="str">
        <f>Translation!B25</f>
        <v>All calculations are done within this sheet</v>
      </c>
      <c r="H50" s="204"/>
      <c r="I50" s="204"/>
      <c r="J50" s="205"/>
      <c r="L50" s="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4.25" hidden="1" customHeight="1">
      <c r="B51" s="6"/>
      <c r="D51" s="206"/>
      <c r="E51" s="207"/>
      <c r="F51" s="208"/>
      <c r="G51" s="206"/>
      <c r="H51" s="207"/>
      <c r="I51" s="207"/>
      <c r="J51" s="208"/>
      <c r="L51" s="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5" hidden="1" customHeight="1">
      <c r="B52" s="6"/>
      <c r="D52" s="209" t="str">
        <f>Translation!B19</f>
        <v>Translation sheet (Hidden)</v>
      </c>
      <c r="E52" s="204"/>
      <c r="F52" s="205"/>
      <c r="G52" s="203" t="str">
        <f>Translation!B26</f>
        <v>Contains the translation into several languages</v>
      </c>
      <c r="H52" s="204"/>
      <c r="I52" s="204"/>
      <c r="J52" s="205"/>
      <c r="L52" s="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hidden="1" customHeight="1">
      <c r="B53" s="6"/>
      <c r="D53" s="206"/>
      <c r="E53" s="207"/>
      <c r="F53" s="208"/>
      <c r="G53" s="206"/>
      <c r="H53" s="207"/>
      <c r="I53" s="207"/>
      <c r="J53" s="208"/>
      <c r="L53" s="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>
      <c r="B54" s="6"/>
      <c r="L54" s="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>
      <c r="B55" s="6"/>
      <c r="D55" s="224"/>
      <c r="E55" s="213"/>
      <c r="F55" s="213"/>
      <c r="G55" s="213"/>
      <c r="H55" s="213"/>
      <c r="I55" s="213"/>
      <c r="J55" s="213"/>
      <c r="L55" s="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>
      <c r="B56" s="6"/>
      <c r="D56" s="212" t="str">
        <f>Translation!B28</f>
        <v xml:space="preserve">This tool was created by Solar Cooling Engineering </v>
      </c>
      <c r="E56" s="213"/>
      <c r="F56" s="213"/>
      <c r="G56" s="213"/>
      <c r="H56" s="213"/>
      <c r="I56" s="213"/>
      <c r="J56" s="213"/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>
      <c r="B57" s="6"/>
      <c r="D57" s="212" t="str">
        <f>Translation!B29</f>
        <v>In cooperation with</v>
      </c>
      <c r="E57" s="213"/>
      <c r="F57" s="213"/>
      <c r="G57" s="213"/>
      <c r="H57" s="213"/>
      <c r="I57" s="213"/>
      <c r="J57" s="213"/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60" customHeight="1">
      <c r="B58" s="6"/>
      <c r="D58" s="151"/>
      <c r="E58" s="151"/>
      <c r="F58" s="151"/>
      <c r="G58" s="151"/>
      <c r="H58" s="151"/>
      <c r="I58" s="151"/>
      <c r="J58" s="151"/>
      <c r="L58" s="7"/>
      <c r="M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5.6" customHeight="1">
      <c r="B59" s="6"/>
      <c r="D59" s="224" t="s">
        <v>9</v>
      </c>
      <c r="E59" s="224"/>
      <c r="F59" s="224"/>
      <c r="G59" s="224"/>
      <c r="H59" s="224"/>
      <c r="I59" s="224"/>
      <c r="J59" s="224"/>
      <c r="L59" s="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thickBot="1">
      <c r="B60" s="10"/>
      <c r="C60" s="11"/>
      <c r="D60" s="214" t="s">
        <v>8</v>
      </c>
      <c r="E60" s="214"/>
      <c r="F60" s="214"/>
      <c r="G60" s="214"/>
      <c r="H60" s="214"/>
      <c r="I60" s="214"/>
      <c r="J60" s="214"/>
      <c r="K60" s="11"/>
      <c r="L60" s="1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4.25" customHeight="1"/>
    <row r="259" spans="2:27" ht="14.25" customHeight="1"/>
    <row r="260" spans="2:27" ht="14.25" customHeight="1"/>
    <row r="261" spans="2:27" ht="14.25" customHeight="1"/>
    <row r="262" spans="2:27" ht="14.25" customHeight="1"/>
    <row r="263" spans="2:27" ht="14.25" customHeight="1"/>
    <row r="264" spans="2:27" ht="14.25" customHeight="1"/>
    <row r="265" spans="2:27" ht="14.25" customHeight="1"/>
    <row r="266" spans="2:27" ht="14.25" customHeight="1"/>
    <row r="267" spans="2:27" ht="14.25" customHeight="1"/>
    <row r="268" spans="2:27" ht="14.25" customHeight="1"/>
    <row r="269" spans="2:27" ht="14.25" customHeight="1"/>
    <row r="270" spans="2:27" ht="14.25" customHeight="1"/>
    <row r="271" spans="2:27" ht="14.25" customHeight="1"/>
    <row r="272" spans="2:27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sheetProtection algorithmName="SHA-512" hashValue="rm8A0bys7djugTzybxBAQiqRGk4pjJF62mCwFjWTsb0DwwStn3n15LVx1NAZQ3k+Wc1CMmVxiQPDhObig32Azw==" saltValue="qoL7Li5bIF2JOpOwZK8hMA==" spinCount="100000" sheet="1" objects="1" scenarios="1" selectLockedCells="1"/>
  <mergeCells count="29">
    <mergeCell ref="D57:J57"/>
    <mergeCell ref="D60:J60"/>
    <mergeCell ref="B8:L11"/>
    <mergeCell ref="D25:J25"/>
    <mergeCell ref="D26:J28"/>
    <mergeCell ref="D30:J30"/>
    <mergeCell ref="G50:J51"/>
    <mergeCell ref="G52:J53"/>
    <mergeCell ref="D31:J32"/>
    <mergeCell ref="D35:J35"/>
    <mergeCell ref="D42:F43"/>
    <mergeCell ref="D44:F45"/>
    <mergeCell ref="D46:F47"/>
    <mergeCell ref="D55:J55"/>
    <mergeCell ref="D56:J56"/>
    <mergeCell ref="D59:J59"/>
    <mergeCell ref="D36:F37"/>
    <mergeCell ref="G36:J37"/>
    <mergeCell ref="D38:F39"/>
    <mergeCell ref="G38:J39"/>
    <mergeCell ref="D40:F41"/>
    <mergeCell ref="G40:J41"/>
    <mergeCell ref="G42:J43"/>
    <mergeCell ref="D48:F49"/>
    <mergeCell ref="D50:F51"/>
    <mergeCell ref="D52:F53"/>
    <mergeCell ref="G44:J45"/>
    <mergeCell ref="G46:J47"/>
    <mergeCell ref="G48:J49"/>
  </mergeCells>
  <hyperlinks>
    <hyperlink ref="D60" r:id="rId1" xr:uid="{AF8F2AE7-5F2C-48BA-8F82-5ED98DFFF014}"/>
  </hyperlinks>
  <pageMargins left="0.7" right="0.7" top="0.75" bottom="0.75" header="0" footer="0"/>
  <pageSetup paperSize="9" orientation="portrait"/>
  <colBreaks count="1" manualBreakCount="1">
    <brk id="1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Translation!$E$5:$F$5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AH1000"/>
  <sheetViews>
    <sheetView showGridLines="0" workbookViewId="0">
      <selection activeCell="B8" sqref="B8"/>
    </sheetView>
  </sheetViews>
  <sheetFormatPr baseColWidth="10" defaultColWidth="14.42578125" defaultRowHeight="15" customHeight="1"/>
  <cols>
    <col min="1" max="1" width="11.42578125" customWidth="1"/>
    <col min="2" max="2" width="38" customWidth="1"/>
    <col min="3" max="34" width="11.42578125" customWidth="1"/>
  </cols>
  <sheetData>
    <row r="1" spans="2:34" ht="14.25" customHeight="1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4.25" customHeigh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4.25" customHeight="1">
      <c r="B3" s="14"/>
      <c r="C3" s="2"/>
      <c r="D3" s="2"/>
      <c r="E3" s="232" t="str">
        <f>Translation!B30</f>
        <v>1. Geographic Data</v>
      </c>
      <c r="F3" s="233"/>
      <c r="G3" s="233"/>
      <c r="H3" s="233"/>
      <c r="I3" s="233"/>
      <c r="J3" s="234"/>
      <c r="K3" s="2"/>
      <c r="L3" s="2"/>
      <c r="M3" s="2"/>
      <c r="N3" s="2"/>
      <c r="O3" s="15"/>
      <c r="P3" s="14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4.25" customHeight="1"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14.25" customHeight="1"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2:34" ht="14.25" customHeight="1"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4" ht="14.25" customHeight="1">
      <c r="B7" s="16" t="str">
        <f>Translation!B46</f>
        <v>Choose location: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4" ht="14.25" customHeight="1">
      <c r="B8" s="133" t="s">
        <v>219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2:34" ht="14.25" customHeight="1">
      <c r="B9" s="14"/>
      <c r="C9" s="17" t="str">
        <f>Translation!B33</f>
        <v>January</v>
      </c>
      <c r="D9" s="17" t="str">
        <f>Translation!B34</f>
        <v>February</v>
      </c>
      <c r="E9" s="17" t="str">
        <f>Translation!B35</f>
        <v>March</v>
      </c>
      <c r="F9" s="17" t="str">
        <f>Translation!B36</f>
        <v>April</v>
      </c>
      <c r="G9" s="17" t="str">
        <f>Translation!B37</f>
        <v>May</v>
      </c>
      <c r="H9" s="17" t="str">
        <f>Translation!B38</f>
        <v>June</v>
      </c>
      <c r="I9" s="17" t="str">
        <f>Translation!B39</f>
        <v>July</v>
      </c>
      <c r="J9" s="17" t="str">
        <f>Translation!B40</f>
        <v>August</v>
      </c>
      <c r="K9" s="17" t="str">
        <f>Translation!B41</f>
        <v>September</v>
      </c>
      <c r="L9" s="17" t="str">
        <f>Translation!B42</f>
        <v>October</v>
      </c>
      <c r="M9" s="17" t="str">
        <f>Translation!B43</f>
        <v>November</v>
      </c>
      <c r="N9" s="17" t="str">
        <f>Translation!B44</f>
        <v>December</v>
      </c>
      <c r="O9" s="15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2:34" ht="14.25" customHeight="1">
      <c r="B10" s="16" t="str">
        <f>Translation!B31</f>
        <v>Mean daily temperature [°C]:</v>
      </c>
      <c r="C10" s="18">
        <f>'5 Weather Data'!C6</f>
        <v>25</v>
      </c>
      <c r="D10" s="18">
        <f>'5 Weather Data'!D6</f>
        <v>26</v>
      </c>
      <c r="E10" s="18">
        <f>'5 Weather Data'!E6</f>
        <v>26</v>
      </c>
      <c r="F10" s="18">
        <f>'5 Weather Data'!F6</f>
        <v>26</v>
      </c>
      <c r="G10" s="18">
        <f>'5 Weather Data'!G6</f>
        <v>25</v>
      </c>
      <c r="H10" s="18">
        <f>'5 Weather Data'!H6</f>
        <v>23</v>
      </c>
      <c r="I10" s="18">
        <f>'5 Weather Data'!I6</f>
        <v>22</v>
      </c>
      <c r="J10" s="18">
        <f>'5 Weather Data'!J6</f>
        <v>23</v>
      </c>
      <c r="K10" s="18">
        <f>'5 Weather Data'!K6</f>
        <v>24</v>
      </c>
      <c r="L10" s="18">
        <f>'5 Weather Data'!L6</f>
        <v>25</v>
      </c>
      <c r="M10" s="18">
        <f>'5 Weather Data'!M6</f>
        <v>25</v>
      </c>
      <c r="N10" s="18">
        <f>'5 Weather Data'!N6</f>
        <v>25</v>
      </c>
      <c r="O10" s="1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2:34" ht="14.25" customHeight="1">
      <c r="B11" s="16" t="str">
        <f>Translation!B32</f>
        <v>Solar irradiation [kWh/m² day]:</v>
      </c>
      <c r="C11" s="18">
        <f>'5 Weather Data'!C7</f>
        <v>6.8116129032258064</v>
      </c>
      <c r="D11" s="18">
        <f>'5 Weather Data'!D7</f>
        <v>7.078214285714286</v>
      </c>
      <c r="E11" s="18">
        <f>'5 Weather Data'!E7</f>
        <v>6.7087096774193551</v>
      </c>
      <c r="F11" s="18">
        <f>'5 Weather Data'!F7</f>
        <v>6.2323333333333331</v>
      </c>
      <c r="G11" s="18">
        <f>'5 Weather Data'!G7</f>
        <v>5.6677419354838703</v>
      </c>
      <c r="H11" s="18">
        <f>'5 Weather Data'!H7</f>
        <v>5.6333333333333337</v>
      </c>
      <c r="I11" s="18">
        <f>'5 Weather Data'!I7</f>
        <v>5.58</v>
      </c>
      <c r="J11" s="18">
        <f>'5 Weather Data'!J7</f>
        <v>6.3667741935483875</v>
      </c>
      <c r="K11" s="18">
        <f>'5 Weather Data'!K7</f>
        <v>6.093</v>
      </c>
      <c r="L11" s="18">
        <f>'5 Weather Data'!L7</f>
        <v>6.5183870967741937</v>
      </c>
      <c r="M11" s="18">
        <f>'5 Weather Data'!M7</f>
        <v>6.2610000000000001</v>
      </c>
      <c r="N11" s="18">
        <f>'5 Weather Data'!N7</f>
        <v>6.7090322580645161</v>
      </c>
      <c r="O11" s="15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2:34" ht="14.25" customHeight="1">
      <c r="B12" s="1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5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2:34" ht="14.25" customHeight="1">
      <c r="B13" s="14" t="str">
        <f>Translation!B47</f>
        <v>Use to obtain indicative monthly irradiation and temperature data for the site:</v>
      </c>
      <c r="C13" s="2"/>
      <c r="D13" s="2"/>
      <c r="E13" s="2"/>
      <c r="F13" s="235" t="s">
        <v>11</v>
      </c>
      <c r="G13" s="235"/>
      <c r="H13" s="235"/>
      <c r="I13" s="235"/>
      <c r="J13" s="235"/>
      <c r="K13" s="235"/>
      <c r="L13" s="235"/>
      <c r="M13" s="235"/>
      <c r="N13" s="235"/>
      <c r="O13" s="15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2:34" ht="14.25" customHeight="1">
      <c r="B14" s="1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t="14.25" customHeight="1">
      <c r="B15" s="14" t="str">
        <f>Translation!B45</f>
        <v>Locations can be added on the sheet "Weather Data"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2:34" ht="14.25" customHeight="1">
      <c r="B16" s="14"/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1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2:34" ht="14.25" customHeight="1">
      <c r="B17" s="1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t="14.25" customHeight="1">
      <c r="B18" s="1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2:34" ht="14.25" customHeight="1">
      <c r="B19" s="1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4.25" customHeight="1">
      <c r="B20" s="1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t="14.25" customHeight="1">
      <c r="B21" s="1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ht="14.25" customHeight="1">
      <c r="B22" s="1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t="14.25" customHeight="1">
      <c r="B23" s="1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ht="14.25" customHeight="1">
      <c r="B24" s="1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ht="14.25" customHeight="1">
      <c r="B25" s="1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2:34" ht="14.25" customHeight="1">
      <c r="B26" s="1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ht="14.25" customHeight="1"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t="14.25" customHeight="1">
      <c r="B28" s="1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t="14.25" customHeight="1">
      <c r="B29" s="1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t="14.25" customHeight="1"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t="14.25" customHeight="1">
      <c r="B31" s="1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5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4.25" customHeight="1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4.2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t="14.25" customHeight="1">
      <c r="B36" s="2"/>
      <c r="C36" s="2"/>
      <c r="D36" s="2"/>
      <c r="E36" s="2"/>
      <c r="F36" s="2"/>
      <c r="G36" s="2"/>
      <c r="H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ht="14.2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t="14.2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2:34" ht="14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2:34" ht="14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4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4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2:34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2:34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2:34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2:34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2:34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2:34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2:34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2:34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2:34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2:34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2:34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2:34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2:34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2:34" ht="14.25" customHeight="1"/>
    <row r="108" spans="2:34" ht="14.25" customHeight="1"/>
    <row r="109" spans="2:34" ht="14.25" customHeight="1"/>
    <row r="110" spans="2:34" ht="14.25" customHeight="1"/>
    <row r="111" spans="2:34" ht="14.25" customHeight="1"/>
    <row r="112" spans="2:34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lSeN1+qLT8OTbP1CWKRkXlfDnowbeqD7ajCFKOiNijEkDIWz0ipxuCXAtMaVphm6RLg4OQGljXnD4aj2sIVKFQ==" saltValue="XXyxF7gr76zybQ87mfgOMA==" spinCount="100000" sheet="1" objects="1" scenarios="1" selectLockedCells="1"/>
  <mergeCells count="2">
    <mergeCell ref="E3:J3"/>
    <mergeCell ref="F13:N13"/>
  </mergeCells>
  <hyperlinks>
    <hyperlink ref="F13" r:id="rId1" xr:uid="{00000000-0004-0000-0100-000000000000}"/>
  </hyperlinks>
  <pageMargins left="0.7" right="0.7" top="0.78740157499999996" bottom="0.78740157499999996" header="0" footer="0"/>
  <pageSetup paperSize="9" orientation="landscape" r:id="rId2"/>
  <rowBreaks count="1" manualBreakCount="1">
    <brk id="32" man="1"/>
  </rowBreaks>
  <colBreaks count="1" manualBreakCount="1">
    <brk id="15" man="1"/>
  </col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'5 Weather Data'!$S$15:$S$27</xm:f>
          </x14:formula1>
          <xm:sqref>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AB998"/>
  <sheetViews>
    <sheetView showGridLines="0" zoomScale="115" zoomScaleNormal="115" workbookViewId="0">
      <selection activeCell="G5" sqref="G5"/>
    </sheetView>
  </sheetViews>
  <sheetFormatPr baseColWidth="10" defaultColWidth="14.42578125" defaultRowHeight="15" customHeight="1"/>
  <cols>
    <col min="1" max="1" width="7.42578125" customWidth="1"/>
    <col min="2" max="2" width="6.140625" customWidth="1"/>
    <col min="3" max="4" width="11.42578125" customWidth="1"/>
    <col min="5" max="5" width="20.42578125" customWidth="1"/>
    <col min="6" max="6" width="9.5703125" customWidth="1"/>
    <col min="7" max="7" width="14.42578125" customWidth="1"/>
    <col min="8" max="8" width="9.85546875" customWidth="1"/>
    <col min="9" max="9" width="3.28515625" customWidth="1"/>
    <col min="10" max="11" width="11.42578125" customWidth="1"/>
    <col min="12" max="12" width="6.28515625" customWidth="1"/>
    <col min="13" max="13" width="6.42578125" customWidth="1"/>
    <col min="14" max="14" width="11.42578125" customWidth="1"/>
    <col min="15" max="15" width="7.140625" customWidth="1"/>
    <col min="16" max="28" width="11.42578125" customWidth="1"/>
  </cols>
  <sheetData>
    <row r="1" spans="2:28" ht="14.2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 ht="3.6" customHeight="1">
      <c r="B2" s="2"/>
      <c r="C2" s="2"/>
      <c r="D2" s="2"/>
      <c r="E2" s="2"/>
      <c r="F2" s="2"/>
      <c r="G2" s="2"/>
      <c r="H2" s="2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ht="14.25" customHeight="1">
      <c r="B3" s="23"/>
      <c r="C3" s="24" t="str">
        <f>Translation!B49</f>
        <v>Product information</v>
      </c>
      <c r="D3" s="25"/>
      <c r="E3" s="25"/>
      <c r="F3" s="236"/>
      <c r="G3" s="237"/>
      <c r="H3" s="238"/>
      <c r="I3" s="25"/>
      <c r="J3" s="4"/>
      <c r="K3" s="4"/>
      <c r="L3" s="4"/>
      <c r="M3" s="4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8" ht="14.25" customHeight="1">
      <c r="B4" s="26"/>
      <c r="C4" s="2"/>
      <c r="D4" s="2"/>
      <c r="E4" s="2"/>
      <c r="F4" s="2"/>
      <c r="G4" s="2"/>
      <c r="H4" s="2"/>
      <c r="I4" s="2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2:28" ht="14.25" customHeight="1">
      <c r="B5" s="26"/>
      <c r="C5" s="2" t="str">
        <f>Translation!B51</f>
        <v>Total mass to be cooled</v>
      </c>
      <c r="D5" s="2"/>
      <c r="E5" s="2"/>
      <c r="F5" s="27" t="str">
        <f>Translation!B54</f>
        <v>Mass =</v>
      </c>
      <c r="G5" s="134">
        <v>500</v>
      </c>
      <c r="H5" s="2" t="s">
        <v>12</v>
      </c>
      <c r="I5" s="2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ht="14.25" customHeight="1">
      <c r="B6" s="26"/>
      <c r="C6" s="2" t="str">
        <f>Translation!B52</f>
        <v>Moisture content of the product</v>
      </c>
      <c r="D6" s="2"/>
      <c r="E6" s="2"/>
      <c r="F6" s="27" t="str">
        <f>Translation!B55</f>
        <v>MC =</v>
      </c>
      <c r="G6" s="134">
        <v>86</v>
      </c>
      <c r="H6" s="2" t="str">
        <f>Translation!B58</f>
        <v>% wet based</v>
      </c>
      <c r="I6" s="2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ht="14.25" hidden="1" customHeight="1">
      <c r="B7" s="26"/>
      <c r="C7" s="2" t="str">
        <f>Translation!B53</f>
        <v xml:space="preserve"> or Heat capacity of the product</v>
      </c>
      <c r="D7" s="2"/>
      <c r="E7" s="2"/>
      <c r="F7" s="27" t="str">
        <f>Translation!B56</f>
        <v>cp =</v>
      </c>
      <c r="G7" s="28">
        <v>0</v>
      </c>
      <c r="H7" s="2" t="str">
        <f>Translation!B59</f>
        <v>kJ/kg K</v>
      </c>
      <c r="I7" s="2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2:28" ht="14.25" hidden="1" customHeight="1">
      <c r="B8" s="26"/>
      <c r="C8" s="2" t="str">
        <f>Translation!B60</f>
        <v>Radius</v>
      </c>
      <c r="D8" s="2"/>
      <c r="E8" s="2"/>
      <c r="F8" s="27" t="s">
        <v>13</v>
      </c>
      <c r="G8" s="28">
        <v>3.5000000000000003E-2</v>
      </c>
      <c r="H8" s="2" t="s">
        <v>14</v>
      </c>
      <c r="I8" s="2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2:28" ht="14.25" hidden="1" customHeight="1">
      <c r="B9" s="26"/>
      <c r="C9" s="2" t="str">
        <f>Translation!B61</f>
        <v>Density</v>
      </c>
      <c r="D9" s="2"/>
      <c r="E9" s="2"/>
      <c r="F9" s="27" t="s">
        <v>15</v>
      </c>
      <c r="G9" s="28">
        <v>997</v>
      </c>
      <c r="H9" s="2" t="s">
        <v>16</v>
      </c>
      <c r="I9" s="2"/>
      <c r="J9" s="2"/>
      <c r="K9" s="2"/>
      <c r="L9" s="2"/>
      <c r="M9" s="2"/>
      <c r="N9" s="2"/>
      <c r="O9" s="29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2:28" ht="14.25" hidden="1" customHeight="1">
      <c r="B10" s="26"/>
      <c r="C10" s="2" t="str">
        <f>Translation!B62</f>
        <v>Convection air - product</v>
      </c>
      <c r="D10" s="2"/>
      <c r="E10" s="2"/>
      <c r="F10" s="27" t="s">
        <v>17</v>
      </c>
      <c r="G10" s="28">
        <v>5</v>
      </c>
      <c r="H10" s="2" t="s">
        <v>18</v>
      </c>
      <c r="I10" s="2"/>
      <c r="J10" s="2"/>
      <c r="K10" s="2"/>
      <c r="L10" s="2"/>
      <c r="M10" s="2"/>
      <c r="N10" s="2"/>
      <c r="O10" s="29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2:28" ht="24" customHeight="1">
      <c r="B11" s="26"/>
      <c r="C11" s="2"/>
      <c r="D11" s="2"/>
      <c r="E11" s="2"/>
      <c r="F11" s="27"/>
      <c r="G11" s="30"/>
      <c r="H11" s="2"/>
      <c r="I11" s="2"/>
      <c r="J11" s="17" t="s">
        <v>19</v>
      </c>
      <c r="K11" s="2"/>
      <c r="L11" s="2"/>
      <c r="M11" s="2"/>
      <c r="N11" s="2"/>
      <c r="O11" s="29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2:28" ht="14.25" customHeight="1">
      <c r="B12" s="26"/>
      <c r="C12" s="2"/>
      <c r="D12" s="2"/>
      <c r="E12" s="2"/>
      <c r="F12" s="27"/>
      <c r="G12" s="30"/>
      <c r="H12" s="2"/>
      <c r="I12" s="2"/>
      <c r="J12" s="2"/>
      <c r="K12" s="2"/>
      <c r="M12" s="2"/>
      <c r="N12" s="2"/>
      <c r="O12" s="29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2:28" ht="14.25" customHeight="1">
      <c r="B13" s="6"/>
      <c r="I13" s="2"/>
      <c r="J13" s="2" t="str">
        <f>Translation!B65</f>
        <v>Initial temperature of the product</v>
      </c>
      <c r="K13" s="2"/>
      <c r="L13" s="2"/>
      <c r="M13" s="27" t="s">
        <v>20</v>
      </c>
      <c r="N13" s="134">
        <v>25</v>
      </c>
      <c r="O13" s="29" t="s">
        <v>21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8" ht="14.25" customHeight="1">
      <c r="B14" s="6"/>
      <c r="I14" s="2"/>
      <c r="J14" s="2" t="s">
        <v>22</v>
      </c>
      <c r="K14" s="2"/>
      <c r="L14" s="2"/>
      <c r="M14" s="27" t="s">
        <v>23</v>
      </c>
      <c r="N14" s="134">
        <v>4</v>
      </c>
      <c r="O14" s="29" t="s">
        <v>21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2:28" ht="14.25" customHeight="1">
      <c r="B15" s="6"/>
      <c r="I15" s="2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2:28" ht="14.25" customHeight="1">
      <c r="B16" s="6"/>
      <c r="I16" s="2"/>
      <c r="J16" s="31" t="s">
        <v>24</v>
      </c>
      <c r="N16" s="32" t="s">
        <v>25</v>
      </c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28" ht="14.25" customHeight="1">
      <c r="B17" s="6"/>
      <c r="I17" s="2"/>
      <c r="J17" s="32" t="s">
        <v>26</v>
      </c>
      <c r="N17" s="135">
        <v>1000</v>
      </c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2:28" ht="14.25" customHeight="1">
      <c r="B18" s="6"/>
      <c r="I18" s="2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2:28" ht="14.25" hidden="1" customHeight="1">
      <c r="B19" s="6"/>
      <c r="I19" s="2"/>
      <c r="J19" s="2"/>
      <c r="K19" s="2"/>
      <c r="L19" s="2"/>
      <c r="M19" s="2"/>
      <c r="N19" s="2"/>
      <c r="O19" s="2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2:28" ht="14.25" hidden="1" customHeight="1">
      <c r="B20" s="6"/>
      <c r="I20" s="2"/>
      <c r="J20" s="2"/>
      <c r="K20" s="2"/>
      <c r="L20" s="2"/>
      <c r="M20" s="2"/>
      <c r="N20" s="2"/>
      <c r="O20" s="29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2:28" ht="14.25" hidden="1" customHeight="1">
      <c r="B21" s="6"/>
      <c r="I21" s="2"/>
      <c r="J21" s="2"/>
      <c r="K21" s="2"/>
      <c r="L21" s="2"/>
      <c r="M21" s="2"/>
      <c r="N21" s="2"/>
      <c r="O21" s="29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2:28" ht="14.25" hidden="1" customHeight="1">
      <c r="B22" s="6"/>
      <c r="I22" s="2"/>
      <c r="J22" s="2"/>
      <c r="K22" s="2"/>
      <c r="L22" s="2"/>
      <c r="M22" s="2"/>
      <c r="N22" s="2"/>
      <c r="O22" s="29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2:28" ht="14.25" hidden="1" customHeight="1">
      <c r="B23" s="6"/>
      <c r="I23" s="2"/>
      <c r="J23" s="2"/>
      <c r="K23" s="2"/>
      <c r="L23" s="2"/>
      <c r="M23" s="2"/>
      <c r="N23" s="2"/>
      <c r="O23" s="29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2:28" ht="14.25" customHeight="1">
      <c r="B24" s="26"/>
      <c r="C24" s="17" t="str">
        <f>Translation!B88</f>
        <v>Cold Room</v>
      </c>
      <c r="D24" s="2"/>
      <c r="E24" s="2"/>
      <c r="F24" s="27"/>
      <c r="G24" s="34" t="s">
        <v>27</v>
      </c>
      <c r="H24" s="35"/>
      <c r="I24" s="2"/>
      <c r="J24" s="2"/>
      <c r="K24" s="2"/>
      <c r="L24" s="2"/>
      <c r="M24" s="2"/>
      <c r="N24" s="2"/>
      <c r="O24" s="29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2:28" ht="14.25" customHeight="1">
      <c r="B25" s="26"/>
      <c r="C25" s="2"/>
      <c r="D25" s="2"/>
      <c r="E25" s="2"/>
      <c r="F25" s="27"/>
      <c r="G25" s="34">
        <f>G26*G27*G28</f>
        <v>31.739999999999995</v>
      </c>
      <c r="H25" s="35" t="s">
        <v>28</v>
      </c>
      <c r="I25" s="2"/>
      <c r="J25" s="2"/>
      <c r="K25" s="2"/>
      <c r="L25" s="2"/>
      <c r="M25" s="2"/>
      <c r="N25" s="2"/>
      <c r="O25" s="29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2:28" ht="14.25" customHeight="1">
      <c r="B26" s="26"/>
      <c r="C26" s="2" t="s">
        <v>29</v>
      </c>
      <c r="D26" s="2"/>
      <c r="E26" s="2"/>
      <c r="F26" s="27" t="s">
        <v>30</v>
      </c>
      <c r="G26" s="134">
        <v>2.2999999999999998</v>
      </c>
      <c r="H26" s="2" t="s">
        <v>14</v>
      </c>
      <c r="I26" s="2"/>
      <c r="J26" s="2"/>
      <c r="K26" s="2"/>
      <c r="O26" s="7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2:28" ht="14.25" customHeight="1">
      <c r="B27" s="26"/>
      <c r="C27" s="2" t="s">
        <v>31</v>
      </c>
      <c r="D27" s="2"/>
      <c r="E27" s="2"/>
      <c r="F27" s="27" t="s">
        <v>32</v>
      </c>
      <c r="G27" s="134">
        <v>6</v>
      </c>
      <c r="H27" s="2" t="s">
        <v>14</v>
      </c>
      <c r="I27" s="2"/>
      <c r="J27" s="2"/>
      <c r="K27" s="2"/>
      <c r="O27" s="7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2:28" ht="14.25" customHeight="1">
      <c r="B28" s="26"/>
      <c r="C28" s="2" t="s">
        <v>33</v>
      </c>
      <c r="D28" s="2"/>
      <c r="F28" s="27" t="s">
        <v>34</v>
      </c>
      <c r="G28" s="134">
        <v>2.2999999999999998</v>
      </c>
      <c r="H28" s="2" t="s">
        <v>14</v>
      </c>
      <c r="I28" s="2"/>
      <c r="J28" s="2"/>
      <c r="K28" s="2"/>
      <c r="O28" s="7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2:28" ht="14.25" customHeight="1">
      <c r="B29" s="26"/>
      <c r="C29" s="2" t="s">
        <v>35</v>
      </c>
      <c r="D29" s="2"/>
      <c r="E29" s="2"/>
      <c r="F29" s="27" t="s">
        <v>36</v>
      </c>
      <c r="G29" s="134">
        <v>0.04</v>
      </c>
      <c r="H29" s="2" t="s">
        <v>37</v>
      </c>
      <c r="I29" s="2"/>
      <c r="J29" s="2"/>
      <c r="K29" s="2"/>
      <c r="O29" s="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2:28" ht="14.25" customHeight="1">
      <c r="B30" s="26"/>
      <c r="C30" s="2" t="s">
        <v>38</v>
      </c>
      <c r="D30" s="2"/>
      <c r="E30" s="2"/>
      <c r="F30" s="27" t="s">
        <v>39</v>
      </c>
      <c r="G30" s="134">
        <v>0.1</v>
      </c>
      <c r="H30" s="2" t="s">
        <v>14</v>
      </c>
      <c r="I30" s="2"/>
      <c r="J30" s="2"/>
      <c r="K30" s="2"/>
      <c r="L30" s="2"/>
      <c r="M30" s="2"/>
      <c r="N30" s="2"/>
      <c r="O30" s="29"/>
      <c r="P30" s="3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2:28" ht="14.25" hidden="1" customHeight="1">
      <c r="B31" s="26"/>
      <c r="C31" s="2" t="str">
        <f>Translation!B95</f>
        <v>Ice storage inside the cold room?</v>
      </c>
      <c r="D31" s="2"/>
      <c r="E31" s="2"/>
      <c r="F31" s="2"/>
      <c r="G31" s="30" t="s">
        <v>40</v>
      </c>
      <c r="H31" s="35"/>
      <c r="I31" s="2"/>
      <c r="J31" s="2"/>
      <c r="K31" s="2"/>
      <c r="L31" s="17" t="s">
        <v>41</v>
      </c>
      <c r="M31" s="2"/>
      <c r="N31" s="2"/>
      <c r="O31" s="29"/>
      <c r="P31" s="30" t="s">
        <v>25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2:28" ht="14.25" hidden="1" customHeight="1">
      <c r="B32" s="26"/>
      <c r="C32" s="2"/>
      <c r="D32" s="2"/>
      <c r="E32" s="2"/>
      <c r="F32" s="2"/>
      <c r="G32" s="2"/>
      <c r="H32" s="35"/>
      <c r="I32" s="2"/>
      <c r="J32" s="2"/>
      <c r="K32" s="2"/>
      <c r="L32" s="17" t="str">
        <f>Translation!B70</f>
        <v>System information</v>
      </c>
      <c r="M32" s="2"/>
      <c r="N32" s="2"/>
      <c r="O32" s="36"/>
      <c r="P32" s="30"/>
      <c r="Q32" s="35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2:28" ht="14.25" hidden="1" customHeight="1">
      <c r="B33" s="26"/>
      <c r="C33" s="17" t="str">
        <f>Translation!B96</f>
        <v>Economic information</v>
      </c>
      <c r="D33" s="2"/>
      <c r="E33" s="2"/>
      <c r="F33" s="2"/>
      <c r="G33" s="2"/>
      <c r="H33" s="35"/>
      <c r="I33" s="2"/>
      <c r="J33" s="2"/>
      <c r="K33" s="2"/>
      <c r="L33" s="2"/>
      <c r="M33" s="2"/>
      <c r="N33" s="2"/>
      <c r="O33" s="36"/>
      <c r="P33" s="30"/>
      <c r="Q33" s="3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2:28" ht="14.25" hidden="1" customHeight="1">
      <c r="B34" s="26"/>
      <c r="C34" s="2"/>
      <c r="D34" s="2"/>
      <c r="E34" s="2"/>
      <c r="F34" s="2"/>
      <c r="G34" s="2"/>
      <c r="H34" s="35"/>
      <c r="I34" s="2"/>
      <c r="J34" s="2"/>
      <c r="K34" s="2"/>
      <c r="L34" s="2" t="str">
        <f>Translation!B71</f>
        <v>Batteries</v>
      </c>
      <c r="M34" s="2"/>
      <c r="N34" s="2"/>
      <c r="O34" s="36"/>
      <c r="P34" s="30" t="s">
        <v>42</v>
      </c>
      <c r="Q34" s="3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2:28" ht="14.25" hidden="1" customHeight="1">
      <c r="B35" s="26"/>
      <c r="C35" s="2" t="str">
        <f>Translation!B97</f>
        <v>Currency used for calculation</v>
      </c>
      <c r="D35" s="2"/>
      <c r="E35" s="2"/>
      <c r="F35" s="2"/>
      <c r="G35" s="30" t="s">
        <v>43</v>
      </c>
      <c r="H35" s="35"/>
      <c r="I35" s="2"/>
      <c r="J35" s="2"/>
      <c r="K35" s="2"/>
      <c r="L35" s="2" t="str">
        <f>Translation!B72</f>
        <v>Autonomy of the system</v>
      </c>
      <c r="M35" s="2"/>
      <c r="N35" s="2"/>
      <c r="O35" s="36"/>
      <c r="P35" s="30">
        <v>0.5</v>
      </c>
      <c r="Q35" s="35" t="str">
        <f>IF(L21="YES","days","")</f>
        <v/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2:28" ht="14.25" hidden="1" customHeight="1">
      <c r="B36" s="26"/>
      <c r="C36" s="2" t="str">
        <f>Translation!B98</f>
        <v>Specific cost of PV</v>
      </c>
      <c r="D36" s="2"/>
      <c r="E36" s="2"/>
      <c r="F36" s="2"/>
      <c r="G36" s="30">
        <v>1.1000000000000001</v>
      </c>
      <c r="H36" s="35" t="str">
        <f>Translation!B112</f>
        <v>$/Wp</v>
      </c>
      <c r="I36" s="2"/>
      <c r="J36" s="2"/>
      <c r="K36" s="2"/>
      <c r="L36" s="2" t="str">
        <f>Translation!B73</f>
        <v>PV System losses (e.g. 25%)</v>
      </c>
      <c r="M36" s="2"/>
      <c r="N36" s="2"/>
      <c r="O36" s="36"/>
      <c r="P36" s="30">
        <v>30</v>
      </c>
      <c r="Q36" s="35" t="s">
        <v>44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2:28" ht="14.25" hidden="1" customHeight="1">
      <c r="B37" s="26"/>
      <c r="C37" s="2" t="str">
        <f>Translation!B99</f>
        <v>PV lifetime</v>
      </c>
      <c r="D37" s="2"/>
      <c r="E37" s="2"/>
      <c r="F37" s="2"/>
      <c r="G37" s="30">
        <v>25</v>
      </c>
      <c r="H37" s="35" t="str">
        <f>Translation!B106</f>
        <v>years</v>
      </c>
      <c r="I37" s="2"/>
      <c r="J37" s="2"/>
      <c r="K37" s="2"/>
      <c r="L37" s="2" t="s">
        <v>45</v>
      </c>
      <c r="M37" s="2"/>
      <c r="N37" s="2"/>
      <c r="O37" s="36"/>
      <c r="P37" s="30">
        <v>480</v>
      </c>
      <c r="Q37" s="35">
        <f>P38/P37</f>
        <v>0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2:28" ht="14.25" hidden="1" customHeight="1">
      <c r="B38" s="26"/>
      <c r="C38" s="2" t="str">
        <f>Translation!B100</f>
        <v xml:space="preserve">Specif cost of battery  </v>
      </c>
      <c r="D38" s="2"/>
      <c r="E38" s="2"/>
      <c r="F38" s="2"/>
      <c r="G38" s="30">
        <v>2.5</v>
      </c>
      <c r="H38" s="35" t="str">
        <f>G35&amp;"/Ah@12V"</f>
        <v>$/Ah@12V</v>
      </c>
      <c r="I38" s="2"/>
      <c r="J38" s="2"/>
      <c r="K38" s="2"/>
      <c r="L38" s="2"/>
      <c r="M38" s="2"/>
      <c r="N38" s="2"/>
      <c r="O38" s="36"/>
      <c r="P38" s="30"/>
      <c r="Q38" s="35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2:28" ht="14.25" hidden="1" customHeight="1">
      <c r="B39" s="26"/>
      <c r="C39" s="2" t="str">
        <f>Translation!B101</f>
        <v>Battery lifetime</v>
      </c>
      <c r="D39" s="2"/>
      <c r="E39" s="2"/>
      <c r="F39" s="2"/>
      <c r="G39" s="30">
        <v>5</v>
      </c>
      <c r="H39" s="35" t="str">
        <f>Translation!B106</f>
        <v>years</v>
      </c>
      <c r="I39" s="2"/>
      <c r="J39" s="2"/>
      <c r="K39" s="2"/>
      <c r="L39" s="2"/>
      <c r="M39" s="2"/>
      <c r="N39" s="2"/>
      <c r="O39" s="29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2:28" ht="14.25" hidden="1" customHeight="1">
      <c r="B40" s="26"/>
      <c r="C40" s="2" t="str">
        <f>Translation!B102</f>
        <v>Cost of a Monoblock cooling unit</v>
      </c>
      <c r="D40" s="2"/>
      <c r="E40" s="2"/>
      <c r="F40" s="2"/>
      <c r="G40" s="30">
        <v>2500</v>
      </c>
      <c r="H40" s="35" t="str">
        <f>G35</f>
        <v>$</v>
      </c>
      <c r="I40" s="2"/>
      <c r="J40" s="2"/>
      <c r="K40" s="2"/>
      <c r="L40" s="2"/>
      <c r="M40" s="2"/>
      <c r="N40" s="2"/>
      <c r="O40" s="29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2:28" ht="14.25" hidden="1" customHeight="1">
      <c r="B41" s="26"/>
      <c r="C41" s="2" t="str">
        <f>Translation!B103</f>
        <v>Solar cooling unit lifetime</v>
      </c>
      <c r="D41" s="2"/>
      <c r="E41" s="2"/>
      <c r="F41" s="2"/>
      <c r="G41" s="30">
        <v>15</v>
      </c>
      <c r="H41" s="35" t="str">
        <f>Translation!B106</f>
        <v>years</v>
      </c>
      <c r="I41" s="2"/>
      <c r="J41" s="2"/>
      <c r="K41" s="2"/>
      <c r="L41" s="2"/>
      <c r="M41" s="2"/>
      <c r="N41" s="2"/>
      <c r="O41" s="29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2:28" ht="30" hidden="1" customHeight="1">
      <c r="B42" s="26"/>
      <c r="C42" s="239" t="str">
        <f>Translation!B104</f>
        <v>Costs of aditional materials (cold cell, waterchiller box, pipes, water pump)</v>
      </c>
      <c r="D42" s="233"/>
      <c r="E42" s="234"/>
      <c r="F42" s="2"/>
      <c r="G42" s="30">
        <v>8000</v>
      </c>
      <c r="H42" s="35" t="str">
        <f>G35</f>
        <v>$</v>
      </c>
      <c r="I42" s="2"/>
      <c r="J42" s="2"/>
      <c r="K42" s="2"/>
      <c r="L42" s="2"/>
      <c r="M42" s="2"/>
      <c r="N42" s="2"/>
      <c r="O42" s="29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2:28" ht="14.25" hidden="1" customHeight="1">
      <c r="B43" s="26"/>
      <c r="C43" s="2" t="str">
        <f>Translation!B105</f>
        <v>Maintenance costs per year</v>
      </c>
      <c r="D43" s="2"/>
      <c r="E43" s="2"/>
      <c r="F43" s="2"/>
      <c r="G43" s="30">
        <v>200</v>
      </c>
      <c r="H43" s="35" t="str">
        <f>G35</f>
        <v>$</v>
      </c>
      <c r="I43" s="2"/>
      <c r="J43" s="2"/>
      <c r="K43" s="2"/>
      <c r="L43" s="2"/>
      <c r="M43" s="2"/>
      <c r="N43" s="2"/>
      <c r="O43" s="29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2:28" ht="14.25" hidden="1" customHeight="1">
      <c r="B44" s="26"/>
      <c r="C44" s="2"/>
      <c r="D44" s="2"/>
      <c r="E44" s="2"/>
      <c r="F44" s="2"/>
      <c r="G44" s="2"/>
      <c r="H44" s="35"/>
      <c r="I44" s="2"/>
      <c r="J44" s="2"/>
      <c r="K44" s="2"/>
      <c r="L44" s="2"/>
      <c r="M44" s="2"/>
      <c r="N44" s="2"/>
      <c r="O44" s="2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2:28" ht="14.25" hidden="1" customHeight="1">
      <c r="B45" s="26"/>
      <c r="C45" s="2" t="str">
        <f>Translation!B107</f>
        <v>Additional income per product unit</v>
      </c>
      <c r="D45" s="2"/>
      <c r="E45" s="2"/>
      <c r="F45" s="2"/>
      <c r="G45" s="30">
        <v>0</v>
      </c>
      <c r="H45" s="35" t="str">
        <f>Translation!B111</f>
        <v>$/kg or l</v>
      </c>
      <c r="I45" s="2"/>
      <c r="J45" s="2"/>
      <c r="K45" s="2"/>
      <c r="L45" s="2"/>
      <c r="M45" s="2"/>
      <c r="N45" s="2"/>
      <c r="O45" s="2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2:28" ht="14.25" hidden="1" customHeight="1">
      <c r="B46" s="26"/>
      <c r="C46" s="2" t="str">
        <f>Translation!B108</f>
        <v>Additional income per month</v>
      </c>
      <c r="D46" s="2"/>
      <c r="E46" s="2"/>
      <c r="F46" s="2"/>
      <c r="G46" s="30">
        <v>500</v>
      </c>
      <c r="H46" s="35" t="str">
        <f>Translation!B113</f>
        <v>$/month</v>
      </c>
      <c r="I46" s="2"/>
      <c r="J46" s="2"/>
      <c r="K46" s="2"/>
      <c r="L46" s="2"/>
      <c r="M46" s="2"/>
      <c r="N46" s="2"/>
      <c r="O46" s="29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2:28" ht="14.25" hidden="1" customHeight="1">
      <c r="B47" s="26"/>
      <c r="C47" s="2" t="str">
        <f>Translation!B109</f>
        <v>Discount rate</v>
      </c>
      <c r="D47" s="2"/>
      <c r="E47" s="2"/>
      <c r="F47" s="2"/>
      <c r="G47" s="30">
        <v>5</v>
      </c>
      <c r="H47" s="35" t="s">
        <v>44</v>
      </c>
      <c r="I47" s="2"/>
      <c r="J47" s="2"/>
      <c r="K47" s="2"/>
      <c r="L47" s="2"/>
      <c r="M47" s="2"/>
      <c r="N47" s="2"/>
      <c r="O47" s="29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2:28" ht="14.25" hidden="1" customHeight="1">
      <c r="B48" s="26"/>
      <c r="C48" s="2" t="str">
        <f>Translation!B110</f>
        <v xml:space="preserve">Inflation  </v>
      </c>
      <c r="D48" s="2"/>
      <c r="E48" s="2"/>
      <c r="F48" s="2"/>
      <c r="G48" s="30">
        <v>3</v>
      </c>
      <c r="H48" s="35" t="s">
        <v>44</v>
      </c>
      <c r="I48" s="2"/>
      <c r="J48" s="2"/>
      <c r="K48" s="2"/>
      <c r="L48" s="2"/>
      <c r="M48" s="2"/>
      <c r="N48" s="2"/>
      <c r="O48" s="29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2:28" ht="14.25" customHeight="1">
      <c r="B49" s="26"/>
      <c r="C49" s="35"/>
      <c r="D49" s="35"/>
      <c r="E49" s="35"/>
      <c r="F49" s="35"/>
      <c r="G49" s="35"/>
      <c r="H49" s="35"/>
      <c r="I49" s="2"/>
      <c r="J49" s="2"/>
      <c r="K49" s="2"/>
      <c r="L49" s="2"/>
      <c r="M49" s="2"/>
      <c r="N49" s="2"/>
      <c r="O49" s="29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2:28" ht="14.25" customHeight="1">
      <c r="B50" s="2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9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2:28" ht="14.25" customHeight="1">
      <c r="B51" s="2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9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2:28" ht="14.25" customHeight="1">
      <c r="B52" s="26"/>
      <c r="C52" s="2"/>
      <c r="J52" s="17" t="s">
        <v>453</v>
      </c>
      <c r="K52" s="2"/>
      <c r="L52" s="2"/>
      <c r="M52" s="2"/>
      <c r="N52" s="2"/>
      <c r="O52" s="29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2:28" ht="14.25" customHeight="1">
      <c r="B53" s="26"/>
      <c r="C53" s="2"/>
      <c r="J53" s="2"/>
      <c r="K53" s="2"/>
      <c r="M53" s="2"/>
      <c r="N53" s="2"/>
      <c r="O53" s="29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2:28" ht="14.25" customHeight="1">
      <c r="B54" s="26"/>
      <c r="C54" s="2"/>
      <c r="J54" s="2" t="s">
        <v>454</v>
      </c>
      <c r="K54" s="2"/>
      <c r="L54" s="2"/>
      <c r="M54" s="27"/>
      <c r="N54" s="134">
        <v>25</v>
      </c>
      <c r="O54" s="29" t="s">
        <v>44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2:28" ht="14.25" customHeight="1">
      <c r="B55" s="26"/>
      <c r="C55" s="2"/>
      <c r="J55" s="2" t="s">
        <v>456</v>
      </c>
      <c r="K55" s="2"/>
      <c r="L55" s="2"/>
      <c r="M55" s="27"/>
      <c r="N55" s="134">
        <v>1</v>
      </c>
      <c r="O55" s="29" t="s">
        <v>455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2:28" ht="14.25" customHeight="1"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9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2:28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2:28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2:28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2:28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2:28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2:28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2:28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2:28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2:28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2:28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2:28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2:28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2:28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2:28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2:28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2:28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2:28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2:28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2:28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2:28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2:28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2:28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2:28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2:28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2:28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2:28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2:28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2:28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2:28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2:28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2:28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2:28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2:28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2:28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2:28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2:28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2:28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2:28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2:28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2:28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2:28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2:28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2:28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2:28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2:28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2:28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2:28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2:28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2:28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2:28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2:28" ht="14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2:28" ht="14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2:28" ht="14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2:28" ht="14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2:28" ht="14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2:28" ht="14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2:28" ht="14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2:28" ht="14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2:28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2:28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2:28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2:28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2:28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2:28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2:28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2:28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2:28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2:28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2:28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2:28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2:28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2:28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2:28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2:28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2:28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2:28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2:28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2:28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2:28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2:28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2:28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2:28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2:28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2:28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2:28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2:28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2:28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2:28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2:28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2:28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2:28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2:28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2:28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2:28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2:28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2:28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2:28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2:28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2:28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2:28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2:28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2:28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2:28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2:28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2:28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2:28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2:28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2:28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2:28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2:28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2:28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2:28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2:28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2:28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2:28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2:28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2:28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2:28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2:28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2:28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2:28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2:28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2:28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2:28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2:28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2:28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2:28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2:28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2:28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2:28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2:28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2:28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2:28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2:28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2:28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2:28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2:28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2:28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2:28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2:28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2:28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2:28" ht="14.25" customHeight="1"/>
    <row r="199" spans="2:28" ht="14.25" customHeight="1"/>
    <row r="200" spans="2:28" ht="14.25" customHeight="1"/>
    <row r="201" spans="2:28" ht="14.25" customHeight="1"/>
    <row r="202" spans="2:28" ht="14.25" customHeight="1"/>
    <row r="203" spans="2:28" ht="14.25" customHeight="1"/>
    <row r="204" spans="2:28" ht="14.25" customHeight="1"/>
    <row r="205" spans="2:28" ht="14.25" customHeight="1"/>
    <row r="206" spans="2:28" ht="14.25" customHeight="1"/>
    <row r="207" spans="2:28" ht="14.25" customHeight="1"/>
    <row r="208" spans="2:2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sheetProtection algorithmName="SHA-512" hashValue="k8tE6E2+cxJFH9glmCqvFG9ccPhr4oQn3vvez/0sHDvbk5Rd46e5da+kRAkoQhCFDxyqXqk5EAgr5Y8IRWPH0g==" saltValue="Z6gKTrI+cxOF/uJ9dph5qA==" spinCount="100000" sheet="1" objects="1" scenarios="1" selectLockedCells="1"/>
  <mergeCells count="2">
    <mergeCell ref="F3:H3"/>
    <mergeCell ref="C42:E42"/>
  </mergeCells>
  <dataValidations count="1">
    <dataValidation type="list" allowBlank="1" showErrorMessage="1" sqref="L21" xr:uid="{00000000-0002-0000-0200-000000000000}">
      <formula1>#REF!</formula1>
    </dataValidation>
  </dataValidations>
  <pageMargins left="0.7" right="0.7" top="0.78740157499999996" bottom="0.78740157499999996" header="0" footer="0"/>
  <pageSetup paperSize="9" orientation="portrait"/>
  <rowBreaks count="1" manualBreakCount="1">
    <brk id="50" man="1"/>
  </rowBreak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1000000}">
          <x14:formula1>
            <xm:f>Translation!$B$86:$B$87</xm:f>
          </x14:formula1>
          <xm:sqref>G31 P34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135"/>
  </sheetPr>
  <dimension ref="A1:Z1000"/>
  <sheetViews>
    <sheetView workbookViewId="0"/>
  </sheetViews>
  <sheetFormatPr baseColWidth="10" defaultColWidth="14.42578125" defaultRowHeight="15" customHeight="1"/>
  <cols>
    <col min="1" max="26" width="11.42578125" customWidth="1"/>
  </cols>
  <sheetData>
    <row r="1" spans="1:26" ht="14.25" customHeight="1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240" t="str">
        <f>Translation!B122</f>
        <v>Cooling Curve &amp; Cooling Load</v>
      </c>
      <c r="C3" s="233"/>
      <c r="D3" s="233"/>
      <c r="E3" s="233"/>
      <c r="F3" s="233"/>
      <c r="G3" s="233"/>
      <c r="H3" s="233"/>
      <c r="I3" s="233"/>
      <c r="J3" s="233"/>
      <c r="K3" s="234"/>
      <c r="L3" s="44"/>
      <c r="M3" s="4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5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5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5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5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5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5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5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5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5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5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5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5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5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5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5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5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5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/>
    <row r="165" spans="1:25" ht="14.25" customHeight="1"/>
    <row r="166" spans="1:25" ht="14.25" customHeight="1"/>
    <row r="167" spans="1:25" ht="14.25" customHeight="1"/>
    <row r="168" spans="1:25" ht="14.25" customHeight="1"/>
    <row r="169" spans="1:25" ht="14.25" customHeight="1"/>
    <row r="170" spans="1:25" ht="14.25" customHeight="1"/>
    <row r="171" spans="1:25" ht="14.25" customHeight="1"/>
    <row r="172" spans="1:25" ht="14.25" customHeight="1"/>
    <row r="173" spans="1:25" ht="14.25" customHeight="1"/>
    <row r="174" spans="1:25" ht="14.25" customHeight="1"/>
    <row r="175" spans="1:25" ht="14.25" customHeight="1"/>
    <row r="176" spans="1:25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K3"/>
  </mergeCells>
  <pageMargins left="0.7" right="0.7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B1:AA940"/>
  <sheetViews>
    <sheetView showGridLines="0" zoomScale="70" zoomScaleNormal="70" workbookViewId="0">
      <selection activeCell="S31" sqref="S31"/>
    </sheetView>
  </sheetViews>
  <sheetFormatPr baseColWidth="10" defaultColWidth="14.42578125" defaultRowHeight="15" customHeight="1"/>
  <cols>
    <col min="1" max="1" width="11.42578125" customWidth="1"/>
    <col min="2" max="2" width="8.42578125" customWidth="1"/>
    <col min="3" max="3" width="19.85546875" customWidth="1"/>
    <col min="4" max="4" width="28.5703125" customWidth="1"/>
    <col min="5" max="5" width="13.85546875" customWidth="1"/>
    <col min="6" max="6" width="28" customWidth="1"/>
    <col min="7" max="7" width="10.140625" customWidth="1"/>
    <col min="8" max="8" width="15.7109375" customWidth="1"/>
    <col min="9" max="9" width="14.28515625" customWidth="1"/>
    <col min="10" max="10" width="12.5703125" customWidth="1"/>
    <col min="11" max="11" width="11.42578125" customWidth="1"/>
    <col min="12" max="12" width="10" customWidth="1"/>
    <col min="13" max="13" width="18.42578125" customWidth="1"/>
    <col min="14" max="14" width="12.140625" customWidth="1"/>
    <col min="15" max="27" width="11.42578125" customWidth="1"/>
  </cols>
  <sheetData>
    <row r="1" spans="2:27" ht="15" customHeight="1" thickBot="1"/>
    <row r="2" spans="2:27" ht="110.45" customHeight="1">
      <c r="B2" s="153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5"/>
      <c r="N2" s="154"/>
      <c r="O2" s="15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6.899999999999999" customHeight="1">
      <c r="B3" s="157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9"/>
      <c r="N3" s="158"/>
      <c r="O3" s="160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20.45" customHeight="1">
      <c r="B4" s="157"/>
      <c r="C4" s="241" t="s">
        <v>46</v>
      </c>
      <c r="D4" s="242"/>
      <c r="E4" s="242"/>
      <c r="F4" s="161"/>
      <c r="G4" s="162"/>
      <c r="H4" s="162"/>
      <c r="I4" s="162"/>
      <c r="J4" s="162"/>
      <c r="K4" s="162"/>
      <c r="L4" s="163"/>
      <c r="M4" s="159"/>
      <c r="N4" s="158"/>
      <c r="O4" s="160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20.45" customHeight="1">
      <c r="B5" s="157"/>
      <c r="C5" s="164"/>
      <c r="D5" s="161"/>
      <c r="E5" s="161"/>
      <c r="F5" s="161"/>
      <c r="G5" s="162"/>
      <c r="H5" s="162"/>
      <c r="I5" s="162"/>
      <c r="J5" s="162"/>
      <c r="K5" s="162"/>
      <c r="L5" s="165"/>
      <c r="M5" s="159"/>
      <c r="N5" s="158"/>
      <c r="O5" s="160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20.45" customHeight="1">
      <c r="B6" s="157"/>
      <c r="C6" s="161" t="s">
        <v>47</v>
      </c>
      <c r="D6" s="161"/>
      <c r="E6" s="166">
        <f>'Calculation Sheet'!N13</f>
        <v>33.323304831419733</v>
      </c>
      <c r="F6" s="167" t="s">
        <v>48</v>
      </c>
      <c r="G6" s="162"/>
      <c r="H6" s="162"/>
      <c r="I6" s="162"/>
      <c r="J6" s="162"/>
      <c r="K6" s="162"/>
      <c r="L6" s="165"/>
      <c r="M6" s="159"/>
      <c r="N6" s="158"/>
      <c r="O6" s="16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0.45" customHeight="1">
      <c r="B7" s="157"/>
      <c r="C7" s="161" t="s">
        <v>49</v>
      </c>
      <c r="D7" s="161"/>
      <c r="E7" s="166">
        <f>'Calculation Sheet'!N15</f>
        <v>1.9083985330073361</v>
      </c>
      <c r="F7" s="167" t="s">
        <v>50</v>
      </c>
      <c r="G7" s="162"/>
      <c r="H7" s="162"/>
      <c r="I7" s="162"/>
      <c r="J7" s="162"/>
      <c r="K7" s="162"/>
      <c r="L7" s="168"/>
      <c r="M7" s="159"/>
      <c r="N7" s="158"/>
      <c r="O7" s="16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20.45" customHeight="1">
      <c r="B8" s="157"/>
      <c r="C8" s="161" t="s">
        <v>51</v>
      </c>
      <c r="D8" s="161"/>
      <c r="E8" s="166">
        <f>ROUNDUP(E7*E9,2)</f>
        <v>1.6</v>
      </c>
      <c r="F8" s="167" t="s">
        <v>52</v>
      </c>
      <c r="G8" s="162"/>
      <c r="H8" s="162"/>
      <c r="I8" s="162"/>
      <c r="J8" s="162"/>
      <c r="K8" s="162"/>
      <c r="L8" s="168"/>
      <c r="M8" s="159"/>
      <c r="N8" s="158"/>
      <c r="O8" s="16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20.45" customHeight="1">
      <c r="B9" s="157"/>
      <c r="C9" s="161" t="s">
        <v>53</v>
      </c>
      <c r="D9" s="161"/>
      <c r="E9" s="166">
        <f>E10/24</f>
        <v>0.83669194993702301</v>
      </c>
      <c r="F9" s="167" t="s">
        <v>52</v>
      </c>
      <c r="G9" s="162"/>
      <c r="H9" s="162"/>
      <c r="I9" s="162"/>
      <c r="J9" s="162"/>
      <c r="K9" s="162"/>
      <c r="L9" s="168"/>
      <c r="M9" s="159"/>
      <c r="N9" s="158"/>
      <c r="O9" s="16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20.45" customHeight="1">
      <c r="B10" s="157"/>
      <c r="C10" s="161" t="s">
        <v>54</v>
      </c>
      <c r="D10" s="161"/>
      <c r="E10" s="166">
        <f>'Calculation Sheet'!N17</f>
        <v>20.080606798488553</v>
      </c>
      <c r="F10" s="167" t="s">
        <v>48</v>
      </c>
      <c r="G10" s="162"/>
      <c r="H10" s="162"/>
      <c r="I10" s="162"/>
      <c r="J10" s="162"/>
      <c r="K10" s="162"/>
      <c r="L10" s="169"/>
      <c r="M10" s="170"/>
      <c r="N10" s="158"/>
      <c r="O10" s="16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20.45" customHeight="1">
      <c r="B11" s="157"/>
      <c r="C11" s="161" t="s">
        <v>55</v>
      </c>
      <c r="D11" s="161"/>
      <c r="E11" s="171">
        <f>ROUNDUP(C16*1000/50,0)</f>
        <v>183</v>
      </c>
      <c r="F11" s="167" t="s">
        <v>56</v>
      </c>
      <c r="G11" s="162"/>
      <c r="H11" s="162"/>
      <c r="I11" s="162"/>
      <c r="J11" s="162"/>
      <c r="K11" s="162"/>
      <c r="L11" s="172"/>
      <c r="M11" s="170"/>
      <c r="N11" s="158"/>
      <c r="O11" s="16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20.45" customHeight="1"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72"/>
      <c r="M12" s="170"/>
      <c r="N12" s="158"/>
      <c r="O12" s="16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20.45" customHeight="1">
      <c r="B13" s="157"/>
      <c r="C13" s="162"/>
      <c r="D13" s="162"/>
      <c r="E13" s="162"/>
      <c r="F13" s="173"/>
      <c r="G13" s="162"/>
      <c r="H13" s="162"/>
      <c r="I13" s="162"/>
      <c r="J13" s="174"/>
      <c r="K13" s="162"/>
      <c r="L13" s="162"/>
      <c r="M13" s="175"/>
      <c r="N13" s="162"/>
      <c r="O13" s="176"/>
      <c r="P13" s="53"/>
      <c r="R13" s="54"/>
      <c r="U13" s="2"/>
      <c r="V13" s="2"/>
      <c r="W13" s="2"/>
      <c r="X13" s="2"/>
      <c r="Y13" s="2"/>
      <c r="Z13" s="2"/>
      <c r="AA13" s="2"/>
    </row>
    <row r="14" spans="2:27" ht="20.45" customHeight="1">
      <c r="B14" s="157"/>
      <c r="C14" s="165"/>
      <c r="D14" s="165"/>
      <c r="E14" s="178"/>
      <c r="F14" s="158"/>
      <c r="G14" s="165"/>
      <c r="H14" s="165"/>
      <c r="I14" s="179"/>
      <c r="J14" s="179"/>
      <c r="K14" s="180"/>
      <c r="L14" s="172"/>
      <c r="M14" s="170"/>
      <c r="N14" s="158"/>
      <c r="O14" s="16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20.45" customHeight="1">
      <c r="B15" s="157"/>
      <c r="C15" s="181" t="s">
        <v>57</v>
      </c>
      <c r="D15" s="182"/>
      <c r="E15" s="162"/>
      <c r="F15" s="181" t="s">
        <v>58</v>
      </c>
      <c r="G15" s="183"/>
      <c r="H15" s="162"/>
      <c r="I15" s="181" t="s">
        <v>59</v>
      </c>
      <c r="J15" s="181"/>
      <c r="K15" s="181"/>
      <c r="L15" s="162"/>
      <c r="M15" s="181" t="s">
        <v>452</v>
      </c>
      <c r="N15" s="183"/>
      <c r="O15" s="176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20.45" customHeight="1">
      <c r="B16" s="157"/>
      <c r="C16" s="184">
        <f>'Calculation Sheet'!P21/1000</f>
        <v>9.141</v>
      </c>
      <c r="D16" s="185" t="s">
        <v>60</v>
      </c>
      <c r="E16" s="177"/>
      <c r="F16" s="186">
        <f>'Calculation Sheet'!E44</f>
        <v>1</v>
      </c>
      <c r="G16" s="185" t="s">
        <v>61</v>
      </c>
      <c r="H16" s="165"/>
      <c r="I16" s="187">
        <f>'Calculation Sheet'!Q22/1000</f>
        <v>30.12</v>
      </c>
      <c r="J16" s="162"/>
      <c r="K16" s="185" t="s">
        <v>62</v>
      </c>
      <c r="L16" s="188"/>
      <c r="M16" s="189">
        <f>1.5+ROUNDDOWN('2 Input'!N17/1000*'3 Technical Design Output'!F16*2,1)</f>
        <v>3.5</v>
      </c>
      <c r="N16" s="185" t="s">
        <v>460</v>
      </c>
      <c r="O16" s="16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20.45" customHeight="1">
      <c r="B17" s="157"/>
      <c r="C17" s="190"/>
      <c r="D17" s="190"/>
      <c r="E17" s="191"/>
      <c r="F17" s="158"/>
      <c r="G17" s="192"/>
      <c r="H17" s="192"/>
      <c r="I17" s="193"/>
      <c r="J17" s="193"/>
      <c r="K17" s="192"/>
      <c r="L17" s="165"/>
      <c r="M17" s="159"/>
      <c r="N17" s="158"/>
      <c r="O17" s="16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>
      <c r="B18" s="157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9"/>
      <c r="N18" s="158"/>
      <c r="O18" s="16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>
      <c r="B19" s="157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9"/>
      <c r="N19" s="158"/>
      <c r="O19" s="16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>
      <c r="B20" s="157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9"/>
      <c r="N20" s="158"/>
      <c r="O20" s="16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4.25" customHeight="1">
      <c r="B21" s="157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9"/>
      <c r="N21" s="158"/>
      <c r="O21" s="160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4.25" customHeight="1">
      <c r="B22" s="157"/>
      <c r="C22" s="158"/>
      <c r="D22" s="2"/>
      <c r="E22" s="158"/>
      <c r="F22" s="158"/>
      <c r="G22" s="158"/>
      <c r="H22" s="158"/>
      <c r="I22" s="158"/>
      <c r="J22" s="158"/>
      <c r="K22" s="158"/>
      <c r="L22" s="158"/>
      <c r="M22" s="159"/>
      <c r="N22" s="158"/>
      <c r="O22" s="160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>
      <c r="B23" s="157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9"/>
      <c r="N23" s="158"/>
      <c r="O23" s="160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>
      <c r="B24" s="157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9"/>
      <c r="N24" s="158"/>
      <c r="O24" s="160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9"/>
      <c r="N25" s="158"/>
      <c r="O25" s="160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9"/>
      <c r="N26" s="158"/>
      <c r="O26" s="160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9"/>
      <c r="N27" s="158"/>
      <c r="O27" s="160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>
      <c r="B28" s="157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9"/>
      <c r="N28" s="158"/>
      <c r="O28" s="16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>
      <c r="B29" s="15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9"/>
      <c r="N29" s="158"/>
      <c r="O29" s="16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>
      <c r="B30" s="157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9"/>
      <c r="N30" s="158"/>
      <c r="O30" s="160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>
      <c r="B31" s="15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9"/>
      <c r="N31" s="158"/>
      <c r="O31" s="160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9"/>
      <c r="N32" s="158"/>
      <c r="O32" s="160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9"/>
      <c r="N33" s="158"/>
      <c r="O33" s="160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9"/>
      <c r="N34" s="158"/>
      <c r="O34" s="160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N35" s="158"/>
      <c r="O35" s="160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9"/>
      <c r="N36" s="158"/>
      <c r="O36" s="160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9"/>
      <c r="N37" s="158"/>
      <c r="O37" s="160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thickBo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6"/>
      <c r="N38" s="195"/>
      <c r="O38" s="19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4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4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4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4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4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4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4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4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4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4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4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4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4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4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4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4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4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4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4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4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4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4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4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4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4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4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4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4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4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4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4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4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4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4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4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4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4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4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4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4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4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4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4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4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4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4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4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4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4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4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4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4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4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4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4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4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4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4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>
      <c r="M102" s="52"/>
    </row>
    <row r="103" spans="2:27" ht="14.25" customHeight="1">
      <c r="M103" s="52"/>
    </row>
    <row r="104" spans="2:27" ht="14.25" customHeight="1">
      <c r="M104" s="52"/>
    </row>
    <row r="105" spans="2:27" ht="14.25" customHeight="1">
      <c r="M105" s="52"/>
    </row>
    <row r="106" spans="2:27" ht="14.25" customHeight="1">
      <c r="M106" s="52"/>
    </row>
    <row r="107" spans="2:27" ht="14.25" customHeight="1">
      <c r="M107" s="52"/>
    </row>
    <row r="108" spans="2:27" ht="14.25" customHeight="1">
      <c r="M108" s="52"/>
    </row>
    <row r="109" spans="2:27" ht="14.25" customHeight="1">
      <c r="M109" s="52"/>
    </row>
    <row r="110" spans="2:27" ht="14.25" customHeight="1">
      <c r="M110" s="52"/>
    </row>
    <row r="111" spans="2:27" ht="14.25" customHeight="1">
      <c r="M111" s="52"/>
    </row>
    <row r="112" spans="2:27" ht="14.25" customHeight="1">
      <c r="M112" s="52"/>
    </row>
    <row r="113" spans="13:13" ht="14.25" customHeight="1">
      <c r="M113" s="52"/>
    </row>
    <row r="114" spans="13:13" ht="14.25" customHeight="1">
      <c r="M114" s="52"/>
    </row>
    <row r="115" spans="13:13" ht="14.25" customHeight="1">
      <c r="M115" s="52"/>
    </row>
    <row r="116" spans="13:13" ht="14.25" customHeight="1">
      <c r="M116" s="52"/>
    </row>
    <row r="117" spans="13:13" ht="14.25" customHeight="1">
      <c r="M117" s="52"/>
    </row>
    <row r="118" spans="13:13" ht="14.25" customHeight="1">
      <c r="M118" s="52"/>
    </row>
    <row r="119" spans="13:13" ht="14.25" customHeight="1">
      <c r="M119" s="52"/>
    </row>
    <row r="120" spans="13:13" ht="14.25" customHeight="1">
      <c r="M120" s="52"/>
    </row>
    <row r="121" spans="13:13" ht="14.25" customHeight="1">
      <c r="M121" s="52"/>
    </row>
    <row r="122" spans="13:13" ht="14.25" customHeight="1">
      <c r="M122" s="52"/>
    </row>
    <row r="123" spans="13:13" ht="14.25" customHeight="1">
      <c r="M123" s="52"/>
    </row>
    <row r="124" spans="13:13" ht="14.25" customHeight="1">
      <c r="M124" s="52"/>
    </row>
    <row r="125" spans="13:13" ht="14.25" customHeight="1">
      <c r="M125" s="52"/>
    </row>
    <row r="126" spans="13:13" ht="14.25" customHeight="1">
      <c r="M126" s="52"/>
    </row>
    <row r="127" spans="13:13" ht="14.25" customHeight="1">
      <c r="M127" s="52"/>
    </row>
    <row r="128" spans="13:13" ht="14.25" customHeight="1">
      <c r="M128" s="52"/>
    </row>
    <row r="129" spans="13:13" ht="14.25" customHeight="1">
      <c r="M129" s="52"/>
    </row>
    <row r="130" spans="13:13" ht="14.25" customHeight="1">
      <c r="M130" s="52"/>
    </row>
    <row r="131" spans="13:13" ht="14.25" customHeight="1">
      <c r="M131" s="52"/>
    </row>
    <row r="132" spans="13:13" ht="14.25" customHeight="1">
      <c r="M132" s="52"/>
    </row>
    <row r="133" spans="13:13" ht="14.25" customHeight="1">
      <c r="M133" s="52"/>
    </row>
    <row r="134" spans="13:13" ht="14.25" customHeight="1">
      <c r="M134" s="52"/>
    </row>
    <row r="135" spans="13:13" ht="14.25" customHeight="1">
      <c r="M135" s="52"/>
    </row>
    <row r="136" spans="13:13" ht="14.25" customHeight="1">
      <c r="M136" s="52"/>
    </row>
    <row r="137" spans="13:13" ht="14.25" customHeight="1">
      <c r="M137" s="52"/>
    </row>
    <row r="138" spans="13:13" ht="14.25" customHeight="1">
      <c r="M138" s="52"/>
    </row>
    <row r="139" spans="13:13" ht="14.25" customHeight="1">
      <c r="M139" s="52"/>
    </row>
    <row r="140" spans="13:13" ht="14.25" customHeight="1">
      <c r="M140" s="52"/>
    </row>
    <row r="141" spans="13:13" ht="14.25" customHeight="1">
      <c r="M141" s="52"/>
    </row>
    <row r="142" spans="13:13" ht="14.25" customHeight="1">
      <c r="M142" s="52"/>
    </row>
    <row r="143" spans="13:13" ht="14.25" customHeight="1">
      <c r="M143" s="52"/>
    </row>
    <row r="144" spans="13:13" ht="14.25" customHeight="1">
      <c r="M144" s="52"/>
    </row>
    <row r="145" spans="13:13" ht="14.25" customHeight="1">
      <c r="M145" s="52"/>
    </row>
    <row r="146" spans="13:13" ht="14.25" customHeight="1">
      <c r="M146" s="52"/>
    </row>
    <row r="147" spans="13:13" ht="14.25" customHeight="1">
      <c r="M147" s="52"/>
    </row>
    <row r="148" spans="13:13" ht="14.25" customHeight="1">
      <c r="M148" s="52"/>
    </row>
    <row r="149" spans="13:13" ht="14.25" customHeight="1">
      <c r="M149" s="52"/>
    </row>
    <row r="150" spans="13:13" ht="14.25" customHeight="1">
      <c r="M150" s="52"/>
    </row>
    <row r="151" spans="13:13" ht="14.25" customHeight="1">
      <c r="M151" s="52"/>
    </row>
    <row r="152" spans="13:13" ht="14.25" customHeight="1">
      <c r="M152" s="52"/>
    </row>
    <row r="153" spans="13:13" ht="14.25" customHeight="1">
      <c r="M153" s="52"/>
    </row>
    <row r="154" spans="13:13" ht="14.25" customHeight="1">
      <c r="M154" s="52"/>
    </row>
    <row r="155" spans="13:13" ht="14.25" customHeight="1">
      <c r="M155" s="52"/>
    </row>
    <row r="156" spans="13:13" ht="14.25" customHeight="1">
      <c r="M156" s="52"/>
    </row>
    <row r="157" spans="13:13" ht="14.25" customHeight="1">
      <c r="M157" s="52"/>
    </row>
    <row r="158" spans="13:13" ht="14.25" customHeight="1">
      <c r="M158" s="52"/>
    </row>
    <row r="159" spans="13:13" ht="14.25" customHeight="1">
      <c r="M159" s="52"/>
    </row>
    <row r="160" spans="13:13" ht="14.25" customHeight="1">
      <c r="M160" s="52"/>
    </row>
    <row r="161" spans="13:13" ht="14.25" customHeight="1">
      <c r="M161" s="52"/>
    </row>
    <row r="162" spans="13:13" ht="14.25" customHeight="1">
      <c r="M162" s="52"/>
    </row>
    <row r="163" spans="13:13" ht="14.25" customHeight="1">
      <c r="M163" s="52"/>
    </row>
    <row r="164" spans="13:13" ht="14.25" customHeight="1">
      <c r="M164" s="52"/>
    </row>
    <row r="165" spans="13:13" ht="14.25" customHeight="1">
      <c r="M165" s="52"/>
    </row>
    <row r="166" spans="13:13" ht="14.25" customHeight="1">
      <c r="M166" s="52"/>
    </row>
    <row r="167" spans="13:13" ht="14.25" customHeight="1">
      <c r="M167" s="52"/>
    </row>
    <row r="168" spans="13:13" ht="14.25" customHeight="1">
      <c r="M168" s="52"/>
    </row>
    <row r="169" spans="13:13" ht="14.25" customHeight="1">
      <c r="M169" s="52"/>
    </row>
    <row r="170" spans="13:13" ht="14.25" customHeight="1">
      <c r="M170" s="52"/>
    </row>
    <row r="171" spans="13:13" ht="14.25" customHeight="1">
      <c r="M171" s="52"/>
    </row>
    <row r="172" spans="13:13" ht="14.25" customHeight="1">
      <c r="M172" s="52"/>
    </row>
    <row r="173" spans="13:13" ht="14.25" customHeight="1">
      <c r="M173" s="52"/>
    </row>
    <row r="174" spans="13:13" ht="14.25" customHeight="1">
      <c r="M174" s="52"/>
    </row>
    <row r="175" spans="13:13" ht="14.25" customHeight="1">
      <c r="M175" s="52"/>
    </row>
    <row r="176" spans="13:13" ht="14.25" customHeight="1">
      <c r="M176" s="52"/>
    </row>
    <row r="177" spans="13:13" ht="14.25" customHeight="1">
      <c r="M177" s="52"/>
    </row>
    <row r="178" spans="13:13" ht="14.25" customHeight="1">
      <c r="M178" s="52"/>
    </row>
    <row r="179" spans="13:13" ht="14.25" customHeight="1">
      <c r="M179" s="52"/>
    </row>
    <row r="180" spans="13:13" ht="14.25" customHeight="1">
      <c r="M180" s="52"/>
    </row>
    <row r="181" spans="13:13" ht="14.25" customHeight="1">
      <c r="M181" s="52"/>
    </row>
    <row r="182" spans="13:13" ht="14.25" customHeight="1">
      <c r="M182" s="52"/>
    </row>
    <row r="183" spans="13:13" ht="14.25" customHeight="1">
      <c r="M183" s="52"/>
    </row>
    <row r="184" spans="13:13" ht="14.25" customHeight="1">
      <c r="M184" s="52"/>
    </row>
    <row r="185" spans="13:13" ht="14.25" customHeight="1">
      <c r="M185" s="52"/>
    </row>
    <row r="186" spans="13:13" ht="14.25" customHeight="1">
      <c r="M186" s="52"/>
    </row>
    <row r="187" spans="13:13" ht="14.25" customHeight="1">
      <c r="M187" s="52"/>
    </row>
    <row r="188" spans="13:13" ht="14.25" customHeight="1">
      <c r="M188" s="52"/>
    </row>
    <row r="189" spans="13:13" ht="14.25" customHeight="1">
      <c r="M189" s="52"/>
    </row>
    <row r="190" spans="13:13" ht="14.25" customHeight="1">
      <c r="M190" s="52"/>
    </row>
    <row r="191" spans="13:13" ht="14.25" customHeight="1">
      <c r="M191" s="52"/>
    </row>
    <row r="192" spans="13:13" ht="14.25" customHeight="1">
      <c r="M192" s="52"/>
    </row>
    <row r="193" spans="13:13" ht="14.25" customHeight="1">
      <c r="M193" s="52"/>
    </row>
    <row r="194" spans="13:13" ht="14.25" customHeight="1">
      <c r="M194" s="52"/>
    </row>
    <row r="195" spans="13:13" ht="14.25" customHeight="1">
      <c r="M195" s="52"/>
    </row>
    <row r="196" spans="13:13" ht="14.25" customHeight="1">
      <c r="M196" s="52"/>
    </row>
    <row r="197" spans="13:13" ht="14.25" customHeight="1">
      <c r="M197" s="52"/>
    </row>
    <row r="198" spans="13:13" ht="14.25" customHeight="1">
      <c r="M198" s="52"/>
    </row>
    <row r="199" spans="13:13" ht="14.25" customHeight="1">
      <c r="M199" s="52"/>
    </row>
    <row r="200" spans="13:13" ht="14.25" customHeight="1">
      <c r="M200" s="52"/>
    </row>
    <row r="201" spans="13:13" ht="14.25" customHeight="1">
      <c r="M201" s="52"/>
    </row>
    <row r="202" spans="13:13" ht="14.25" customHeight="1">
      <c r="M202" s="52"/>
    </row>
    <row r="203" spans="13:13" ht="14.25" customHeight="1">
      <c r="M203" s="52"/>
    </row>
    <row r="204" spans="13:13" ht="14.25" customHeight="1">
      <c r="M204" s="52"/>
    </row>
    <row r="205" spans="13:13" ht="14.25" customHeight="1">
      <c r="M205" s="52"/>
    </row>
    <row r="206" spans="13:13" ht="14.25" customHeight="1">
      <c r="M206" s="52"/>
    </row>
    <row r="207" spans="13:13" ht="14.25" customHeight="1">
      <c r="M207" s="52"/>
    </row>
    <row r="208" spans="13:13" ht="14.25" customHeight="1">
      <c r="M208" s="52"/>
    </row>
    <row r="209" spans="13:13" ht="14.25" customHeight="1">
      <c r="M209" s="52"/>
    </row>
    <row r="210" spans="13:13" ht="14.25" customHeight="1">
      <c r="M210" s="52"/>
    </row>
    <row r="211" spans="13:13" ht="14.25" customHeight="1">
      <c r="M211" s="52"/>
    </row>
    <row r="212" spans="13:13" ht="14.25" customHeight="1">
      <c r="M212" s="52"/>
    </row>
    <row r="213" spans="13:13" ht="14.25" customHeight="1">
      <c r="M213" s="52"/>
    </row>
    <row r="214" spans="13:13" ht="14.25" customHeight="1">
      <c r="M214" s="52"/>
    </row>
    <row r="215" spans="13:13" ht="14.25" customHeight="1">
      <c r="M215" s="52"/>
    </row>
    <row r="216" spans="13:13" ht="14.25" customHeight="1">
      <c r="M216" s="52"/>
    </row>
    <row r="217" spans="13:13" ht="14.25" customHeight="1">
      <c r="M217" s="52"/>
    </row>
    <row r="218" spans="13:13" ht="14.25" customHeight="1">
      <c r="M218" s="52"/>
    </row>
    <row r="219" spans="13:13" ht="14.25" customHeight="1">
      <c r="M219" s="52"/>
    </row>
    <row r="220" spans="13:13" ht="14.25" customHeight="1">
      <c r="M220" s="52"/>
    </row>
    <row r="221" spans="13:13" ht="14.25" customHeight="1">
      <c r="M221" s="52"/>
    </row>
    <row r="222" spans="13:13" ht="14.25" customHeight="1">
      <c r="M222" s="52"/>
    </row>
    <row r="223" spans="13:13" ht="14.25" customHeight="1">
      <c r="M223" s="52"/>
    </row>
    <row r="224" spans="13:13" ht="14.25" customHeight="1">
      <c r="M224" s="52"/>
    </row>
    <row r="225" spans="13:13" ht="14.25" customHeight="1">
      <c r="M225" s="52"/>
    </row>
    <row r="226" spans="13:13" ht="14.25" customHeight="1">
      <c r="M226" s="52"/>
    </row>
    <row r="227" spans="13:13" ht="14.25" customHeight="1">
      <c r="M227" s="52"/>
    </row>
    <row r="228" spans="13:13" ht="14.25" customHeight="1">
      <c r="M228" s="52"/>
    </row>
    <row r="229" spans="13:13" ht="14.25" customHeight="1">
      <c r="M229" s="52"/>
    </row>
    <row r="230" spans="13:13" ht="14.25" customHeight="1">
      <c r="M230" s="52"/>
    </row>
    <row r="231" spans="13:13" ht="14.25" customHeight="1">
      <c r="M231" s="52"/>
    </row>
    <row r="232" spans="13:13" ht="14.25" customHeight="1">
      <c r="M232" s="52"/>
    </row>
    <row r="233" spans="13:13" ht="14.25" customHeight="1">
      <c r="M233" s="52"/>
    </row>
    <row r="234" spans="13:13" ht="14.25" customHeight="1">
      <c r="M234" s="52"/>
    </row>
    <row r="235" spans="13:13" ht="14.25" customHeight="1">
      <c r="M235" s="52"/>
    </row>
    <row r="236" spans="13:13" ht="14.25" customHeight="1">
      <c r="M236" s="52"/>
    </row>
    <row r="237" spans="13:13" ht="14.25" customHeight="1">
      <c r="M237" s="52"/>
    </row>
    <row r="238" spans="13:13" ht="14.25" customHeight="1">
      <c r="M238" s="52"/>
    </row>
    <row r="239" spans="13:13" ht="14.25" customHeight="1">
      <c r="M239" s="52"/>
    </row>
    <row r="240" spans="13:13" ht="14.25" customHeight="1">
      <c r="M240" s="52"/>
    </row>
    <row r="241" spans="13:13" ht="14.25" customHeight="1">
      <c r="M241" s="52"/>
    </row>
    <row r="242" spans="13:13" ht="14.25" customHeight="1">
      <c r="M242" s="52"/>
    </row>
    <row r="243" spans="13:13" ht="14.25" customHeight="1">
      <c r="M243" s="52"/>
    </row>
    <row r="244" spans="13:13" ht="14.25" customHeight="1">
      <c r="M244" s="52"/>
    </row>
    <row r="245" spans="13:13" ht="14.25" customHeight="1">
      <c r="M245" s="52"/>
    </row>
    <row r="246" spans="13:13" ht="14.25" customHeight="1">
      <c r="M246" s="52"/>
    </row>
    <row r="247" spans="13:13" ht="14.25" customHeight="1">
      <c r="M247" s="52"/>
    </row>
    <row r="248" spans="13:13" ht="14.25" customHeight="1">
      <c r="M248" s="52"/>
    </row>
    <row r="249" spans="13:13" ht="14.25" customHeight="1">
      <c r="M249" s="52"/>
    </row>
    <row r="250" spans="13:13" ht="14.25" customHeight="1">
      <c r="M250" s="52"/>
    </row>
    <row r="251" spans="13:13" ht="14.25" customHeight="1">
      <c r="M251" s="52"/>
    </row>
    <row r="252" spans="13:13" ht="14.25" customHeight="1">
      <c r="M252" s="52"/>
    </row>
    <row r="253" spans="13:13" ht="14.25" customHeight="1">
      <c r="M253" s="52"/>
    </row>
    <row r="254" spans="13:13" ht="14.25" customHeight="1">
      <c r="M254" s="52"/>
    </row>
    <row r="255" spans="13:13" ht="14.25" customHeight="1">
      <c r="M255" s="52"/>
    </row>
    <row r="256" spans="13:13" ht="14.25" customHeight="1">
      <c r="M256" s="52"/>
    </row>
    <row r="257" spans="13:13" ht="14.25" customHeight="1">
      <c r="M257" s="52"/>
    </row>
    <row r="258" spans="13:13" ht="14.25" customHeight="1">
      <c r="M258" s="52"/>
    </row>
    <row r="259" spans="13:13" ht="14.25" customHeight="1">
      <c r="M259" s="52"/>
    </row>
    <row r="260" spans="13:13" ht="14.25" customHeight="1">
      <c r="M260" s="52"/>
    </row>
    <row r="261" spans="13:13" ht="14.25" customHeight="1">
      <c r="M261" s="52"/>
    </row>
    <row r="262" spans="13:13" ht="14.25" customHeight="1">
      <c r="M262" s="52"/>
    </row>
    <row r="263" spans="13:13" ht="14.25" customHeight="1">
      <c r="M263" s="52"/>
    </row>
    <row r="264" spans="13:13" ht="14.25" customHeight="1">
      <c r="M264" s="52"/>
    </row>
    <row r="265" spans="13:13" ht="14.25" customHeight="1">
      <c r="M265" s="52"/>
    </row>
    <row r="266" spans="13:13" ht="14.25" customHeight="1">
      <c r="M266" s="52"/>
    </row>
    <row r="267" spans="13:13" ht="14.25" customHeight="1">
      <c r="M267" s="52"/>
    </row>
    <row r="268" spans="13:13" ht="14.25" customHeight="1">
      <c r="M268" s="52"/>
    </row>
    <row r="269" spans="13:13" ht="14.25" customHeight="1">
      <c r="M269" s="52"/>
    </row>
    <row r="270" spans="13:13" ht="14.25" customHeight="1">
      <c r="M270" s="52"/>
    </row>
    <row r="271" spans="13:13" ht="14.25" customHeight="1">
      <c r="M271" s="52"/>
    </row>
    <row r="272" spans="13:13" ht="14.25" customHeight="1">
      <c r="M272" s="52"/>
    </row>
    <row r="273" spans="13:13" ht="14.25" customHeight="1">
      <c r="M273" s="52"/>
    </row>
    <row r="274" spans="13:13" ht="14.25" customHeight="1">
      <c r="M274" s="52"/>
    </row>
    <row r="275" spans="13:13" ht="14.25" customHeight="1">
      <c r="M275" s="52"/>
    </row>
    <row r="276" spans="13:13" ht="14.25" customHeight="1">
      <c r="M276" s="52"/>
    </row>
    <row r="277" spans="13:13" ht="14.25" customHeight="1">
      <c r="M277" s="52"/>
    </row>
    <row r="278" spans="13:13" ht="14.25" customHeight="1">
      <c r="M278" s="52"/>
    </row>
    <row r="279" spans="13:13" ht="14.25" customHeight="1">
      <c r="M279" s="52"/>
    </row>
    <row r="280" spans="13:13" ht="14.25" customHeight="1">
      <c r="M280" s="52"/>
    </row>
    <row r="281" spans="13:13" ht="14.25" customHeight="1">
      <c r="M281" s="52"/>
    </row>
    <row r="282" spans="13:13" ht="14.25" customHeight="1">
      <c r="M282" s="52"/>
    </row>
    <row r="283" spans="13:13" ht="14.25" customHeight="1">
      <c r="M283" s="52"/>
    </row>
    <row r="284" spans="13:13" ht="14.25" customHeight="1">
      <c r="M284" s="52"/>
    </row>
    <row r="285" spans="13:13" ht="14.25" customHeight="1">
      <c r="M285" s="52"/>
    </row>
    <row r="286" spans="13:13" ht="14.25" customHeight="1">
      <c r="M286" s="52"/>
    </row>
    <row r="287" spans="13:13" ht="14.25" customHeight="1">
      <c r="M287" s="52"/>
    </row>
    <row r="288" spans="13:13" ht="14.25" customHeight="1">
      <c r="M288" s="52"/>
    </row>
    <row r="289" spans="13:13" ht="14.25" customHeight="1">
      <c r="M289" s="52"/>
    </row>
    <row r="290" spans="13:13" ht="14.25" customHeight="1">
      <c r="M290" s="52"/>
    </row>
    <row r="291" spans="13:13" ht="14.25" customHeight="1">
      <c r="M291" s="52"/>
    </row>
    <row r="292" spans="13:13" ht="14.25" customHeight="1">
      <c r="M292" s="52"/>
    </row>
    <row r="293" spans="13:13" ht="14.25" customHeight="1">
      <c r="M293" s="52"/>
    </row>
    <row r="294" spans="13:13" ht="14.25" customHeight="1">
      <c r="M294" s="52"/>
    </row>
    <row r="295" spans="13:13" ht="14.25" customHeight="1">
      <c r="M295" s="52"/>
    </row>
    <row r="296" spans="13:13" ht="14.25" customHeight="1">
      <c r="M296" s="52"/>
    </row>
    <row r="297" spans="13:13" ht="14.25" customHeight="1">
      <c r="M297" s="52"/>
    </row>
    <row r="298" spans="13:13" ht="14.25" customHeight="1">
      <c r="M298" s="52"/>
    </row>
    <row r="299" spans="13:13" ht="14.25" customHeight="1">
      <c r="M299" s="52"/>
    </row>
    <row r="300" spans="13:13" ht="14.25" customHeight="1">
      <c r="M300" s="52"/>
    </row>
    <row r="301" spans="13:13" ht="14.25" customHeight="1">
      <c r="M301" s="52"/>
    </row>
    <row r="302" spans="13:13" ht="14.25" customHeight="1">
      <c r="M302" s="52"/>
    </row>
    <row r="303" spans="13:13" ht="14.25" customHeight="1">
      <c r="M303" s="52"/>
    </row>
    <row r="304" spans="13:13" ht="14.25" customHeight="1">
      <c r="M304" s="52"/>
    </row>
    <row r="305" spans="13:13" ht="14.25" customHeight="1">
      <c r="M305" s="52"/>
    </row>
    <row r="306" spans="13:13" ht="14.25" customHeight="1">
      <c r="M306" s="52"/>
    </row>
    <row r="307" spans="13:13" ht="14.25" customHeight="1">
      <c r="M307" s="52"/>
    </row>
    <row r="308" spans="13:13" ht="14.25" customHeight="1">
      <c r="M308" s="52"/>
    </row>
    <row r="309" spans="13:13" ht="14.25" customHeight="1">
      <c r="M309" s="52"/>
    </row>
    <row r="310" spans="13:13" ht="14.25" customHeight="1">
      <c r="M310" s="52"/>
    </row>
    <row r="311" spans="13:13" ht="14.25" customHeight="1">
      <c r="M311" s="52"/>
    </row>
    <row r="312" spans="13:13" ht="14.25" customHeight="1">
      <c r="M312" s="52"/>
    </row>
    <row r="313" spans="13:13" ht="14.25" customHeight="1">
      <c r="M313" s="52"/>
    </row>
    <row r="314" spans="13:13" ht="14.25" customHeight="1">
      <c r="M314" s="52"/>
    </row>
    <row r="315" spans="13:13" ht="14.25" customHeight="1">
      <c r="M315" s="52"/>
    </row>
    <row r="316" spans="13:13" ht="14.25" customHeight="1">
      <c r="M316" s="52"/>
    </row>
    <row r="317" spans="13:13" ht="14.25" customHeight="1">
      <c r="M317" s="52"/>
    </row>
    <row r="318" spans="13:13" ht="14.25" customHeight="1">
      <c r="M318" s="52"/>
    </row>
    <row r="319" spans="13:13" ht="14.25" customHeight="1">
      <c r="M319" s="52"/>
    </row>
    <row r="320" spans="13:13" ht="14.25" customHeight="1">
      <c r="M320" s="52"/>
    </row>
    <row r="321" spans="13:13" ht="14.25" customHeight="1">
      <c r="M321" s="52"/>
    </row>
    <row r="322" spans="13:13" ht="14.25" customHeight="1">
      <c r="M322" s="52"/>
    </row>
    <row r="323" spans="13:13" ht="14.25" customHeight="1">
      <c r="M323" s="52"/>
    </row>
    <row r="324" spans="13:13" ht="14.25" customHeight="1">
      <c r="M324" s="52"/>
    </row>
    <row r="325" spans="13:13" ht="14.25" customHeight="1">
      <c r="M325" s="52"/>
    </row>
    <row r="326" spans="13:13" ht="14.25" customHeight="1">
      <c r="M326" s="52"/>
    </row>
    <row r="327" spans="13:13" ht="14.25" customHeight="1">
      <c r="M327" s="52"/>
    </row>
    <row r="328" spans="13:13" ht="14.25" customHeight="1">
      <c r="M328" s="52"/>
    </row>
    <row r="329" spans="13:13" ht="14.25" customHeight="1">
      <c r="M329" s="52"/>
    </row>
    <row r="330" spans="13:13" ht="14.25" customHeight="1">
      <c r="M330" s="52"/>
    </row>
    <row r="331" spans="13:13" ht="14.25" customHeight="1">
      <c r="M331" s="52"/>
    </row>
    <row r="332" spans="13:13" ht="14.25" customHeight="1">
      <c r="M332" s="52"/>
    </row>
    <row r="333" spans="13:13" ht="14.25" customHeight="1">
      <c r="M333" s="52"/>
    </row>
    <row r="334" spans="13:13" ht="14.25" customHeight="1">
      <c r="M334" s="52"/>
    </row>
    <row r="335" spans="13:13" ht="14.25" customHeight="1">
      <c r="M335" s="52"/>
    </row>
    <row r="336" spans="13:13" ht="14.25" customHeight="1">
      <c r="M336" s="52"/>
    </row>
    <row r="337" spans="13:13" ht="14.25" customHeight="1">
      <c r="M337" s="52"/>
    </row>
    <row r="338" spans="13:13" ht="14.25" customHeight="1">
      <c r="M338" s="52"/>
    </row>
    <row r="339" spans="13:13" ht="14.25" customHeight="1">
      <c r="M339" s="52"/>
    </row>
    <row r="340" spans="13:13" ht="14.25" customHeight="1">
      <c r="M340" s="52"/>
    </row>
    <row r="341" spans="13:13" ht="14.25" customHeight="1">
      <c r="M341" s="52"/>
    </row>
    <row r="342" spans="13:13" ht="14.25" customHeight="1">
      <c r="M342" s="52"/>
    </row>
    <row r="343" spans="13:13" ht="14.25" customHeight="1">
      <c r="M343" s="52"/>
    </row>
    <row r="344" spans="13:13" ht="14.25" customHeight="1">
      <c r="M344" s="52"/>
    </row>
    <row r="345" spans="13:13" ht="14.25" customHeight="1">
      <c r="M345" s="52"/>
    </row>
    <row r="346" spans="13:13" ht="14.25" customHeight="1">
      <c r="M346" s="52"/>
    </row>
    <row r="347" spans="13:13" ht="14.25" customHeight="1">
      <c r="M347" s="52"/>
    </row>
    <row r="348" spans="13:13" ht="14.25" customHeight="1">
      <c r="M348" s="52"/>
    </row>
    <row r="349" spans="13:13" ht="14.25" customHeight="1">
      <c r="M349" s="52"/>
    </row>
    <row r="350" spans="13:13" ht="14.25" customHeight="1">
      <c r="M350" s="52"/>
    </row>
    <row r="351" spans="13:13" ht="14.25" customHeight="1">
      <c r="M351" s="52"/>
    </row>
    <row r="352" spans="13:13" ht="14.25" customHeight="1">
      <c r="M352" s="52"/>
    </row>
    <row r="353" spans="13:13" ht="14.25" customHeight="1">
      <c r="M353" s="52"/>
    </row>
    <row r="354" spans="13:13" ht="14.25" customHeight="1">
      <c r="M354" s="52"/>
    </row>
    <row r="355" spans="13:13" ht="14.25" customHeight="1">
      <c r="M355" s="52"/>
    </row>
    <row r="356" spans="13:13" ht="14.25" customHeight="1">
      <c r="M356" s="52"/>
    </row>
    <row r="357" spans="13:13" ht="14.25" customHeight="1">
      <c r="M357" s="52"/>
    </row>
    <row r="358" spans="13:13" ht="14.25" customHeight="1">
      <c r="M358" s="52"/>
    </row>
    <row r="359" spans="13:13" ht="14.25" customHeight="1">
      <c r="M359" s="52"/>
    </row>
    <row r="360" spans="13:13" ht="14.25" customHeight="1">
      <c r="M360" s="52"/>
    </row>
    <row r="361" spans="13:13" ht="14.25" customHeight="1">
      <c r="M361" s="52"/>
    </row>
    <row r="362" spans="13:13" ht="14.25" customHeight="1">
      <c r="M362" s="52"/>
    </row>
    <row r="363" spans="13:13" ht="14.25" customHeight="1">
      <c r="M363" s="52"/>
    </row>
    <row r="364" spans="13:13" ht="14.25" customHeight="1">
      <c r="M364" s="52"/>
    </row>
    <row r="365" spans="13:13" ht="14.25" customHeight="1">
      <c r="M365" s="52"/>
    </row>
    <row r="366" spans="13:13" ht="14.25" customHeight="1">
      <c r="M366" s="52"/>
    </row>
    <row r="367" spans="13:13" ht="14.25" customHeight="1">
      <c r="M367" s="52"/>
    </row>
    <row r="368" spans="13:13" ht="14.25" customHeight="1">
      <c r="M368" s="52"/>
    </row>
    <row r="369" spans="13:13" ht="14.25" customHeight="1">
      <c r="M369" s="52"/>
    </row>
    <row r="370" spans="13:13" ht="14.25" customHeight="1">
      <c r="M370" s="52"/>
    </row>
    <row r="371" spans="13:13" ht="14.25" customHeight="1">
      <c r="M371" s="52"/>
    </row>
    <row r="372" spans="13:13" ht="14.25" customHeight="1">
      <c r="M372" s="52"/>
    </row>
    <row r="373" spans="13:13" ht="14.25" customHeight="1">
      <c r="M373" s="52"/>
    </row>
    <row r="374" spans="13:13" ht="14.25" customHeight="1">
      <c r="M374" s="52"/>
    </row>
    <row r="375" spans="13:13" ht="14.25" customHeight="1">
      <c r="M375" s="52"/>
    </row>
    <row r="376" spans="13:13" ht="14.25" customHeight="1">
      <c r="M376" s="52"/>
    </row>
    <row r="377" spans="13:13" ht="14.25" customHeight="1">
      <c r="M377" s="52"/>
    </row>
    <row r="378" spans="13:13" ht="14.25" customHeight="1">
      <c r="M378" s="52"/>
    </row>
    <row r="379" spans="13:13" ht="14.25" customHeight="1">
      <c r="M379" s="52"/>
    </row>
    <row r="380" spans="13:13" ht="14.25" customHeight="1">
      <c r="M380" s="52"/>
    </row>
    <row r="381" spans="13:13" ht="14.25" customHeight="1">
      <c r="M381" s="52"/>
    </row>
    <row r="382" spans="13:13" ht="14.25" customHeight="1">
      <c r="M382" s="52"/>
    </row>
    <row r="383" spans="13:13" ht="14.25" customHeight="1">
      <c r="M383" s="52"/>
    </row>
    <row r="384" spans="13:13" ht="14.25" customHeight="1">
      <c r="M384" s="52"/>
    </row>
    <row r="385" spans="13:13" ht="14.25" customHeight="1">
      <c r="M385" s="52"/>
    </row>
    <row r="386" spans="13:13" ht="14.25" customHeight="1">
      <c r="M386" s="52"/>
    </row>
    <row r="387" spans="13:13" ht="14.25" customHeight="1">
      <c r="M387" s="52"/>
    </row>
    <row r="388" spans="13:13" ht="14.25" customHeight="1">
      <c r="M388" s="52"/>
    </row>
    <row r="389" spans="13:13" ht="14.25" customHeight="1">
      <c r="M389" s="52"/>
    </row>
    <row r="390" spans="13:13" ht="14.25" customHeight="1">
      <c r="M390" s="52"/>
    </row>
    <row r="391" spans="13:13" ht="14.25" customHeight="1">
      <c r="M391" s="52"/>
    </row>
    <row r="392" spans="13:13" ht="14.25" customHeight="1">
      <c r="M392" s="52"/>
    </row>
    <row r="393" spans="13:13" ht="14.25" customHeight="1">
      <c r="M393" s="52"/>
    </row>
    <row r="394" spans="13:13" ht="14.25" customHeight="1">
      <c r="M394" s="52"/>
    </row>
    <row r="395" spans="13:13" ht="14.25" customHeight="1">
      <c r="M395" s="52"/>
    </row>
    <row r="396" spans="13:13" ht="14.25" customHeight="1">
      <c r="M396" s="52"/>
    </row>
    <row r="397" spans="13:13" ht="14.25" customHeight="1">
      <c r="M397" s="52"/>
    </row>
    <row r="398" spans="13:13" ht="14.25" customHeight="1">
      <c r="M398" s="52"/>
    </row>
    <row r="399" spans="13:13" ht="14.25" customHeight="1">
      <c r="M399" s="52"/>
    </row>
    <row r="400" spans="13:13" ht="14.25" customHeight="1">
      <c r="M400" s="52"/>
    </row>
    <row r="401" spans="13:13" ht="14.25" customHeight="1">
      <c r="M401" s="52"/>
    </row>
    <row r="402" spans="13:13" ht="14.25" customHeight="1">
      <c r="M402" s="52"/>
    </row>
    <row r="403" spans="13:13" ht="14.25" customHeight="1">
      <c r="M403" s="52"/>
    </row>
    <row r="404" spans="13:13" ht="14.25" customHeight="1">
      <c r="M404" s="52"/>
    </row>
    <row r="405" spans="13:13" ht="14.25" customHeight="1">
      <c r="M405" s="52"/>
    </row>
    <row r="406" spans="13:13" ht="14.25" customHeight="1">
      <c r="M406" s="52"/>
    </row>
    <row r="407" spans="13:13" ht="14.25" customHeight="1">
      <c r="M407" s="52"/>
    </row>
    <row r="408" spans="13:13" ht="14.25" customHeight="1">
      <c r="M408" s="52"/>
    </row>
    <row r="409" spans="13:13" ht="14.25" customHeight="1">
      <c r="M409" s="52"/>
    </row>
    <row r="410" spans="13:13" ht="14.25" customHeight="1">
      <c r="M410" s="52"/>
    </row>
    <row r="411" spans="13:13" ht="14.25" customHeight="1">
      <c r="M411" s="52"/>
    </row>
    <row r="412" spans="13:13" ht="14.25" customHeight="1">
      <c r="M412" s="52"/>
    </row>
    <row r="413" spans="13:13" ht="14.25" customHeight="1">
      <c r="M413" s="52"/>
    </row>
    <row r="414" spans="13:13" ht="14.25" customHeight="1">
      <c r="M414" s="52"/>
    </row>
    <row r="415" spans="13:13" ht="14.25" customHeight="1">
      <c r="M415" s="52"/>
    </row>
    <row r="416" spans="13:13" ht="14.25" customHeight="1">
      <c r="M416" s="52"/>
    </row>
    <row r="417" spans="13:13" ht="14.25" customHeight="1">
      <c r="M417" s="52"/>
    </row>
    <row r="418" spans="13:13" ht="14.25" customHeight="1">
      <c r="M418" s="52"/>
    </row>
    <row r="419" spans="13:13" ht="14.25" customHeight="1">
      <c r="M419" s="52"/>
    </row>
    <row r="420" spans="13:13" ht="14.25" customHeight="1">
      <c r="M420" s="52"/>
    </row>
    <row r="421" spans="13:13" ht="14.25" customHeight="1">
      <c r="M421" s="52"/>
    </row>
    <row r="422" spans="13:13" ht="14.25" customHeight="1">
      <c r="M422" s="52"/>
    </row>
    <row r="423" spans="13:13" ht="14.25" customHeight="1">
      <c r="M423" s="52"/>
    </row>
    <row r="424" spans="13:13" ht="14.25" customHeight="1">
      <c r="M424" s="52"/>
    </row>
    <row r="425" spans="13:13" ht="14.25" customHeight="1">
      <c r="M425" s="52"/>
    </row>
    <row r="426" spans="13:13" ht="14.25" customHeight="1">
      <c r="M426" s="52"/>
    </row>
    <row r="427" spans="13:13" ht="14.25" customHeight="1">
      <c r="M427" s="52"/>
    </row>
    <row r="428" spans="13:13" ht="14.25" customHeight="1">
      <c r="M428" s="52"/>
    </row>
    <row r="429" spans="13:13" ht="14.25" customHeight="1">
      <c r="M429" s="52"/>
    </row>
    <row r="430" spans="13:13" ht="14.25" customHeight="1">
      <c r="M430" s="52"/>
    </row>
    <row r="431" spans="13:13" ht="14.25" customHeight="1">
      <c r="M431" s="52"/>
    </row>
    <row r="432" spans="13:13" ht="14.25" customHeight="1">
      <c r="M432" s="52"/>
    </row>
    <row r="433" spans="13:13" ht="14.25" customHeight="1">
      <c r="M433" s="52"/>
    </row>
    <row r="434" spans="13:13" ht="14.25" customHeight="1">
      <c r="M434" s="52"/>
    </row>
    <row r="435" spans="13:13" ht="14.25" customHeight="1">
      <c r="M435" s="52"/>
    </row>
    <row r="436" spans="13:13" ht="14.25" customHeight="1">
      <c r="M436" s="52"/>
    </row>
    <row r="437" spans="13:13" ht="14.25" customHeight="1">
      <c r="M437" s="52"/>
    </row>
    <row r="438" spans="13:13" ht="14.25" customHeight="1">
      <c r="M438" s="52"/>
    </row>
    <row r="439" spans="13:13" ht="14.25" customHeight="1">
      <c r="M439" s="52"/>
    </row>
    <row r="440" spans="13:13" ht="14.25" customHeight="1">
      <c r="M440" s="52"/>
    </row>
    <row r="441" spans="13:13" ht="14.25" customHeight="1">
      <c r="M441" s="52"/>
    </row>
    <row r="442" spans="13:13" ht="14.25" customHeight="1">
      <c r="M442" s="52"/>
    </row>
    <row r="443" spans="13:13" ht="14.25" customHeight="1">
      <c r="M443" s="52"/>
    </row>
    <row r="444" spans="13:13" ht="14.25" customHeight="1">
      <c r="M444" s="52"/>
    </row>
    <row r="445" spans="13:13" ht="14.25" customHeight="1">
      <c r="M445" s="52"/>
    </row>
    <row r="446" spans="13:13" ht="14.25" customHeight="1">
      <c r="M446" s="52"/>
    </row>
    <row r="447" spans="13:13" ht="14.25" customHeight="1">
      <c r="M447" s="52"/>
    </row>
    <row r="448" spans="13:13" ht="14.25" customHeight="1">
      <c r="M448" s="52"/>
    </row>
    <row r="449" spans="13:13" ht="14.25" customHeight="1">
      <c r="M449" s="52"/>
    </row>
    <row r="450" spans="13:13" ht="14.25" customHeight="1">
      <c r="M450" s="52"/>
    </row>
    <row r="451" spans="13:13" ht="14.25" customHeight="1">
      <c r="M451" s="52"/>
    </row>
    <row r="452" spans="13:13" ht="14.25" customHeight="1">
      <c r="M452" s="52"/>
    </row>
    <row r="453" spans="13:13" ht="14.25" customHeight="1">
      <c r="M453" s="52"/>
    </row>
    <row r="454" spans="13:13" ht="14.25" customHeight="1">
      <c r="M454" s="52"/>
    </row>
    <row r="455" spans="13:13" ht="14.25" customHeight="1">
      <c r="M455" s="52"/>
    </row>
    <row r="456" spans="13:13" ht="14.25" customHeight="1">
      <c r="M456" s="52"/>
    </row>
    <row r="457" spans="13:13" ht="14.25" customHeight="1">
      <c r="M457" s="52"/>
    </row>
    <row r="458" spans="13:13" ht="14.25" customHeight="1">
      <c r="M458" s="52"/>
    </row>
    <row r="459" spans="13:13" ht="14.25" customHeight="1">
      <c r="M459" s="52"/>
    </row>
    <row r="460" spans="13:13" ht="14.25" customHeight="1">
      <c r="M460" s="52"/>
    </row>
    <row r="461" spans="13:13" ht="14.25" customHeight="1">
      <c r="M461" s="52"/>
    </row>
    <row r="462" spans="13:13" ht="14.25" customHeight="1">
      <c r="M462" s="52"/>
    </row>
    <row r="463" spans="13:13" ht="14.25" customHeight="1">
      <c r="M463" s="52"/>
    </row>
    <row r="464" spans="13:13" ht="14.25" customHeight="1">
      <c r="M464" s="52"/>
    </row>
    <row r="465" spans="13:13" ht="14.25" customHeight="1">
      <c r="M465" s="52"/>
    </row>
    <row r="466" spans="13:13" ht="14.25" customHeight="1">
      <c r="M466" s="52"/>
    </row>
    <row r="467" spans="13:13" ht="14.25" customHeight="1">
      <c r="M467" s="52"/>
    </row>
    <row r="468" spans="13:13" ht="14.25" customHeight="1">
      <c r="M468" s="52"/>
    </row>
    <row r="469" spans="13:13" ht="14.25" customHeight="1">
      <c r="M469" s="52"/>
    </row>
    <row r="470" spans="13:13" ht="14.25" customHeight="1">
      <c r="M470" s="52"/>
    </row>
    <row r="471" spans="13:13" ht="14.25" customHeight="1">
      <c r="M471" s="52"/>
    </row>
    <row r="472" spans="13:13" ht="14.25" customHeight="1">
      <c r="M472" s="52"/>
    </row>
    <row r="473" spans="13:13" ht="14.25" customHeight="1">
      <c r="M473" s="52"/>
    </row>
    <row r="474" spans="13:13" ht="14.25" customHeight="1">
      <c r="M474" s="52"/>
    </row>
    <row r="475" spans="13:13" ht="14.25" customHeight="1">
      <c r="M475" s="52"/>
    </row>
    <row r="476" spans="13:13" ht="14.25" customHeight="1">
      <c r="M476" s="52"/>
    </row>
    <row r="477" spans="13:13" ht="14.25" customHeight="1">
      <c r="M477" s="52"/>
    </row>
    <row r="478" spans="13:13" ht="14.25" customHeight="1">
      <c r="M478" s="52"/>
    </row>
    <row r="479" spans="13:13" ht="14.25" customHeight="1">
      <c r="M479" s="52"/>
    </row>
    <row r="480" spans="13:13" ht="14.25" customHeight="1">
      <c r="M480" s="52"/>
    </row>
    <row r="481" spans="13:13" ht="14.25" customHeight="1">
      <c r="M481" s="52"/>
    </row>
    <row r="482" spans="13:13" ht="14.25" customHeight="1">
      <c r="M482" s="52"/>
    </row>
    <row r="483" spans="13:13" ht="14.25" customHeight="1">
      <c r="M483" s="52"/>
    </row>
    <row r="484" spans="13:13" ht="14.25" customHeight="1">
      <c r="M484" s="52"/>
    </row>
    <row r="485" spans="13:13" ht="14.25" customHeight="1">
      <c r="M485" s="52"/>
    </row>
    <row r="486" spans="13:13" ht="14.25" customHeight="1">
      <c r="M486" s="52"/>
    </row>
    <row r="487" spans="13:13" ht="14.25" customHeight="1">
      <c r="M487" s="52"/>
    </row>
    <row r="488" spans="13:13" ht="14.25" customHeight="1">
      <c r="M488" s="52"/>
    </row>
    <row r="489" spans="13:13" ht="14.25" customHeight="1">
      <c r="M489" s="52"/>
    </row>
    <row r="490" spans="13:13" ht="14.25" customHeight="1">
      <c r="M490" s="52"/>
    </row>
    <row r="491" spans="13:13" ht="14.25" customHeight="1">
      <c r="M491" s="52"/>
    </row>
    <row r="492" spans="13:13" ht="14.25" customHeight="1">
      <c r="M492" s="52"/>
    </row>
    <row r="493" spans="13:13" ht="14.25" customHeight="1">
      <c r="M493" s="52"/>
    </row>
    <row r="494" spans="13:13" ht="14.25" customHeight="1">
      <c r="M494" s="52"/>
    </row>
    <row r="495" spans="13:13" ht="14.25" customHeight="1">
      <c r="M495" s="52"/>
    </row>
    <row r="496" spans="13:13" ht="14.25" customHeight="1">
      <c r="M496" s="52"/>
    </row>
    <row r="497" spans="13:13" ht="14.25" customHeight="1">
      <c r="M497" s="52"/>
    </row>
    <row r="498" spans="13:13" ht="14.25" customHeight="1">
      <c r="M498" s="52"/>
    </row>
    <row r="499" spans="13:13" ht="14.25" customHeight="1">
      <c r="M499" s="52"/>
    </row>
    <row r="500" spans="13:13" ht="14.25" customHeight="1">
      <c r="M500" s="52"/>
    </row>
    <row r="501" spans="13:13" ht="14.25" customHeight="1">
      <c r="M501" s="52"/>
    </row>
    <row r="502" spans="13:13" ht="14.25" customHeight="1">
      <c r="M502" s="52"/>
    </row>
    <row r="503" spans="13:13" ht="14.25" customHeight="1">
      <c r="M503" s="52"/>
    </row>
    <row r="504" spans="13:13" ht="14.25" customHeight="1">
      <c r="M504" s="52"/>
    </row>
    <row r="505" spans="13:13" ht="14.25" customHeight="1">
      <c r="M505" s="52"/>
    </row>
    <row r="506" spans="13:13" ht="14.25" customHeight="1">
      <c r="M506" s="52"/>
    </row>
    <row r="507" spans="13:13" ht="14.25" customHeight="1">
      <c r="M507" s="52"/>
    </row>
    <row r="508" spans="13:13" ht="14.25" customHeight="1">
      <c r="M508" s="52"/>
    </row>
    <row r="509" spans="13:13" ht="14.25" customHeight="1">
      <c r="M509" s="52"/>
    </row>
    <row r="510" spans="13:13" ht="14.25" customHeight="1">
      <c r="M510" s="52"/>
    </row>
    <row r="511" spans="13:13" ht="14.25" customHeight="1">
      <c r="M511" s="52"/>
    </row>
    <row r="512" spans="13:13" ht="14.25" customHeight="1">
      <c r="M512" s="52"/>
    </row>
    <row r="513" spans="13:13" ht="14.25" customHeight="1">
      <c r="M513" s="52"/>
    </row>
    <row r="514" spans="13:13" ht="14.25" customHeight="1">
      <c r="M514" s="52"/>
    </row>
    <row r="515" spans="13:13" ht="14.25" customHeight="1">
      <c r="M515" s="52"/>
    </row>
    <row r="516" spans="13:13" ht="14.25" customHeight="1">
      <c r="M516" s="52"/>
    </row>
    <row r="517" spans="13:13" ht="14.25" customHeight="1">
      <c r="M517" s="52"/>
    </row>
    <row r="518" spans="13:13" ht="14.25" customHeight="1">
      <c r="M518" s="52"/>
    </row>
    <row r="519" spans="13:13" ht="14.25" customHeight="1">
      <c r="M519" s="52"/>
    </row>
    <row r="520" spans="13:13" ht="14.25" customHeight="1">
      <c r="M520" s="52"/>
    </row>
    <row r="521" spans="13:13" ht="14.25" customHeight="1">
      <c r="M521" s="52"/>
    </row>
    <row r="522" spans="13:13" ht="14.25" customHeight="1">
      <c r="M522" s="52"/>
    </row>
    <row r="523" spans="13:13" ht="14.25" customHeight="1">
      <c r="M523" s="52"/>
    </row>
    <row r="524" spans="13:13" ht="14.25" customHeight="1">
      <c r="M524" s="52"/>
    </row>
    <row r="525" spans="13:13" ht="14.25" customHeight="1">
      <c r="M525" s="52"/>
    </row>
    <row r="526" spans="13:13" ht="14.25" customHeight="1">
      <c r="M526" s="52"/>
    </row>
    <row r="527" spans="13:13" ht="14.25" customHeight="1">
      <c r="M527" s="52"/>
    </row>
    <row r="528" spans="13:13" ht="14.25" customHeight="1">
      <c r="M528" s="52"/>
    </row>
    <row r="529" spans="13:13" ht="14.25" customHeight="1">
      <c r="M529" s="52"/>
    </row>
    <row r="530" spans="13:13" ht="14.25" customHeight="1">
      <c r="M530" s="52"/>
    </row>
    <row r="531" spans="13:13" ht="14.25" customHeight="1">
      <c r="M531" s="52"/>
    </row>
    <row r="532" spans="13:13" ht="14.25" customHeight="1">
      <c r="M532" s="52"/>
    </row>
    <row r="533" spans="13:13" ht="14.25" customHeight="1">
      <c r="M533" s="52"/>
    </row>
    <row r="534" spans="13:13" ht="14.25" customHeight="1">
      <c r="M534" s="52"/>
    </row>
    <row r="535" spans="13:13" ht="14.25" customHeight="1">
      <c r="M535" s="52"/>
    </row>
    <row r="536" spans="13:13" ht="14.25" customHeight="1">
      <c r="M536" s="52"/>
    </row>
    <row r="537" spans="13:13" ht="14.25" customHeight="1">
      <c r="M537" s="52"/>
    </row>
    <row r="538" spans="13:13" ht="14.25" customHeight="1">
      <c r="M538" s="52"/>
    </row>
    <row r="539" spans="13:13" ht="14.25" customHeight="1">
      <c r="M539" s="52"/>
    </row>
    <row r="540" spans="13:13" ht="14.25" customHeight="1">
      <c r="M540" s="52"/>
    </row>
    <row r="541" spans="13:13" ht="14.25" customHeight="1">
      <c r="M541" s="52"/>
    </row>
    <row r="542" spans="13:13" ht="14.25" customHeight="1">
      <c r="M542" s="52"/>
    </row>
    <row r="543" spans="13:13" ht="14.25" customHeight="1">
      <c r="M543" s="52"/>
    </row>
    <row r="544" spans="13:13" ht="14.25" customHeight="1">
      <c r="M544" s="52"/>
    </row>
    <row r="545" spans="13:13" ht="14.25" customHeight="1">
      <c r="M545" s="52"/>
    </row>
    <row r="546" spans="13:13" ht="14.25" customHeight="1">
      <c r="M546" s="52"/>
    </row>
    <row r="547" spans="13:13" ht="14.25" customHeight="1">
      <c r="M547" s="52"/>
    </row>
    <row r="548" spans="13:13" ht="14.25" customHeight="1">
      <c r="M548" s="52"/>
    </row>
    <row r="549" spans="13:13" ht="14.25" customHeight="1">
      <c r="M549" s="52"/>
    </row>
    <row r="550" spans="13:13" ht="14.25" customHeight="1">
      <c r="M550" s="52"/>
    </row>
    <row r="551" spans="13:13" ht="14.25" customHeight="1">
      <c r="M551" s="52"/>
    </row>
    <row r="552" spans="13:13" ht="14.25" customHeight="1">
      <c r="M552" s="52"/>
    </row>
    <row r="553" spans="13:13" ht="14.25" customHeight="1">
      <c r="M553" s="52"/>
    </row>
    <row r="554" spans="13:13" ht="14.25" customHeight="1">
      <c r="M554" s="52"/>
    </row>
    <row r="555" spans="13:13" ht="14.25" customHeight="1">
      <c r="M555" s="52"/>
    </row>
    <row r="556" spans="13:13" ht="14.25" customHeight="1">
      <c r="M556" s="52"/>
    </row>
    <row r="557" spans="13:13" ht="14.25" customHeight="1">
      <c r="M557" s="52"/>
    </row>
    <row r="558" spans="13:13" ht="14.25" customHeight="1">
      <c r="M558" s="52"/>
    </row>
    <row r="559" spans="13:13" ht="14.25" customHeight="1">
      <c r="M559" s="52"/>
    </row>
    <row r="560" spans="13:13" ht="14.25" customHeight="1">
      <c r="M560" s="52"/>
    </row>
    <row r="561" spans="13:13" ht="14.25" customHeight="1">
      <c r="M561" s="52"/>
    </row>
    <row r="562" spans="13:13" ht="14.25" customHeight="1">
      <c r="M562" s="52"/>
    </row>
    <row r="563" spans="13:13" ht="14.25" customHeight="1">
      <c r="M563" s="52"/>
    </row>
    <row r="564" spans="13:13" ht="14.25" customHeight="1">
      <c r="M564" s="52"/>
    </row>
    <row r="565" spans="13:13" ht="14.25" customHeight="1">
      <c r="M565" s="52"/>
    </row>
    <row r="566" spans="13:13" ht="14.25" customHeight="1">
      <c r="M566" s="52"/>
    </row>
    <row r="567" spans="13:13" ht="14.25" customHeight="1">
      <c r="M567" s="52"/>
    </row>
    <row r="568" spans="13:13" ht="14.25" customHeight="1">
      <c r="M568" s="52"/>
    </row>
    <row r="569" spans="13:13" ht="14.25" customHeight="1">
      <c r="M569" s="52"/>
    </row>
    <row r="570" spans="13:13" ht="14.25" customHeight="1">
      <c r="M570" s="52"/>
    </row>
    <row r="571" spans="13:13" ht="14.25" customHeight="1">
      <c r="M571" s="52"/>
    </row>
    <row r="572" spans="13:13" ht="14.25" customHeight="1">
      <c r="M572" s="52"/>
    </row>
    <row r="573" spans="13:13" ht="14.25" customHeight="1">
      <c r="M573" s="52"/>
    </row>
    <row r="574" spans="13:13" ht="14.25" customHeight="1">
      <c r="M574" s="52"/>
    </row>
    <row r="575" spans="13:13" ht="14.25" customHeight="1">
      <c r="M575" s="52"/>
    </row>
    <row r="576" spans="13:13" ht="14.25" customHeight="1">
      <c r="M576" s="52"/>
    </row>
    <row r="577" spans="13:13" ht="14.25" customHeight="1">
      <c r="M577" s="52"/>
    </row>
    <row r="578" spans="13:13" ht="14.25" customHeight="1">
      <c r="M578" s="52"/>
    </row>
    <row r="579" spans="13:13" ht="14.25" customHeight="1">
      <c r="M579" s="52"/>
    </row>
    <row r="580" spans="13:13" ht="14.25" customHeight="1">
      <c r="M580" s="52"/>
    </row>
    <row r="581" spans="13:13" ht="14.25" customHeight="1">
      <c r="M581" s="52"/>
    </row>
    <row r="582" spans="13:13" ht="14.25" customHeight="1">
      <c r="M582" s="52"/>
    </row>
    <row r="583" spans="13:13" ht="14.25" customHeight="1">
      <c r="M583" s="52"/>
    </row>
    <row r="584" spans="13:13" ht="14.25" customHeight="1">
      <c r="M584" s="52"/>
    </row>
    <row r="585" spans="13:13" ht="14.25" customHeight="1">
      <c r="M585" s="52"/>
    </row>
    <row r="586" spans="13:13" ht="14.25" customHeight="1">
      <c r="M586" s="52"/>
    </row>
    <row r="587" spans="13:13" ht="14.25" customHeight="1">
      <c r="M587" s="52"/>
    </row>
    <row r="588" spans="13:13" ht="14.25" customHeight="1">
      <c r="M588" s="52"/>
    </row>
    <row r="589" spans="13:13" ht="14.25" customHeight="1">
      <c r="M589" s="52"/>
    </row>
    <row r="590" spans="13:13" ht="14.25" customHeight="1">
      <c r="M590" s="52"/>
    </row>
    <row r="591" spans="13:13" ht="14.25" customHeight="1">
      <c r="M591" s="52"/>
    </row>
    <row r="592" spans="13:13" ht="14.25" customHeight="1">
      <c r="M592" s="52"/>
    </row>
    <row r="593" spans="13:13" ht="14.25" customHeight="1">
      <c r="M593" s="52"/>
    </row>
    <row r="594" spans="13:13" ht="14.25" customHeight="1">
      <c r="M594" s="52"/>
    </row>
    <row r="595" spans="13:13" ht="14.25" customHeight="1">
      <c r="M595" s="52"/>
    </row>
    <row r="596" spans="13:13" ht="14.25" customHeight="1">
      <c r="M596" s="52"/>
    </row>
    <row r="597" spans="13:13" ht="14.25" customHeight="1">
      <c r="M597" s="52"/>
    </row>
    <row r="598" spans="13:13" ht="14.25" customHeight="1">
      <c r="M598" s="52"/>
    </row>
    <row r="599" spans="13:13" ht="14.25" customHeight="1">
      <c r="M599" s="52"/>
    </row>
    <row r="600" spans="13:13" ht="14.25" customHeight="1">
      <c r="M600" s="52"/>
    </row>
    <row r="601" spans="13:13" ht="14.25" customHeight="1">
      <c r="M601" s="52"/>
    </row>
    <row r="602" spans="13:13" ht="14.25" customHeight="1">
      <c r="M602" s="52"/>
    </row>
    <row r="603" spans="13:13" ht="14.25" customHeight="1">
      <c r="M603" s="52"/>
    </row>
    <row r="604" spans="13:13" ht="14.25" customHeight="1">
      <c r="M604" s="52"/>
    </row>
    <row r="605" spans="13:13" ht="14.25" customHeight="1">
      <c r="M605" s="52"/>
    </row>
    <row r="606" spans="13:13" ht="14.25" customHeight="1">
      <c r="M606" s="52"/>
    </row>
    <row r="607" spans="13:13" ht="14.25" customHeight="1">
      <c r="M607" s="52"/>
    </row>
    <row r="608" spans="13:13" ht="14.25" customHeight="1">
      <c r="M608" s="52"/>
    </row>
    <row r="609" spans="13:13" ht="14.25" customHeight="1">
      <c r="M609" s="52"/>
    </row>
    <row r="610" spans="13:13" ht="14.25" customHeight="1">
      <c r="M610" s="52"/>
    </row>
    <row r="611" spans="13:13" ht="14.25" customHeight="1">
      <c r="M611" s="52"/>
    </row>
    <row r="612" spans="13:13" ht="14.25" customHeight="1">
      <c r="M612" s="52"/>
    </row>
    <row r="613" spans="13:13" ht="14.25" customHeight="1">
      <c r="M613" s="52"/>
    </row>
    <row r="614" spans="13:13" ht="14.25" customHeight="1">
      <c r="M614" s="52"/>
    </row>
    <row r="615" spans="13:13" ht="14.25" customHeight="1">
      <c r="M615" s="52"/>
    </row>
    <row r="616" spans="13:13" ht="14.25" customHeight="1">
      <c r="M616" s="52"/>
    </row>
    <row r="617" spans="13:13" ht="14.25" customHeight="1">
      <c r="M617" s="52"/>
    </row>
    <row r="618" spans="13:13" ht="14.25" customHeight="1">
      <c r="M618" s="52"/>
    </row>
    <row r="619" spans="13:13" ht="14.25" customHeight="1">
      <c r="M619" s="52"/>
    </row>
    <row r="620" spans="13:13" ht="14.25" customHeight="1">
      <c r="M620" s="52"/>
    </row>
    <row r="621" spans="13:13" ht="14.25" customHeight="1">
      <c r="M621" s="52"/>
    </row>
    <row r="622" spans="13:13" ht="14.25" customHeight="1">
      <c r="M622" s="52"/>
    </row>
    <row r="623" spans="13:13" ht="14.25" customHeight="1">
      <c r="M623" s="52"/>
    </row>
    <row r="624" spans="13:13" ht="14.25" customHeight="1">
      <c r="M624" s="52"/>
    </row>
    <row r="625" spans="13:13" ht="14.25" customHeight="1">
      <c r="M625" s="52"/>
    </row>
    <row r="626" spans="13:13" ht="14.25" customHeight="1">
      <c r="M626" s="52"/>
    </row>
    <row r="627" spans="13:13" ht="14.25" customHeight="1">
      <c r="M627" s="52"/>
    </row>
    <row r="628" spans="13:13" ht="14.25" customHeight="1">
      <c r="M628" s="52"/>
    </row>
    <row r="629" spans="13:13" ht="14.25" customHeight="1">
      <c r="M629" s="52"/>
    </row>
    <row r="630" spans="13:13" ht="14.25" customHeight="1">
      <c r="M630" s="52"/>
    </row>
    <row r="631" spans="13:13" ht="14.25" customHeight="1">
      <c r="M631" s="52"/>
    </row>
    <row r="632" spans="13:13" ht="14.25" customHeight="1">
      <c r="M632" s="52"/>
    </row>
    <row r="633" spans="13:13" ht="14.25" customHeight="1">
      <c r="M633" s="52"/>
    </row>
    <row r="634" spans="13:13" ht="14.25" customHeight="1">
      <c r="M634" s="52"/>
    </row>
    <row r="635" spans="13:13" ht="14.25" customHeight="1">
      <c r="M635" s="52"/>
    </row>
    <row r="636" spans="13:13" ht="14.25" customHeight="1">
      <c r="M636" s="52"/>
    </row>
    <row r="637" spans="13:13" ht="14.25" customHeight="1">
      <c r="M637" s="52"/>
    </row>
    <row r="638" spans="13:13" ht="14.25" customHeight="1">
      <c r="M638" s="52"/>
    </row>
    <row r="639" spans="13:13" ht="14.25" customHeight="1">
      <c r="M639" s="52"/>
    </row>
    <row r="640" spans="13:13" ht="14.25" customHeight="1">
      <c r="M640" s="52"/>
    </row>
    <row r="641" spans="13:13" ht="14.25" customHeight="1">
      <c r="M641" s="52"/>
    </row>
    <row r="642" spans="13:13" ht="14.25" customHeight="1">
      <c r="M642" s="52"/>
    </row>
    <row r="643" spans="13:13" ht="14.25" customHeight="1">
      <c r="M643" s="52"/>
    </row>
    <row r="644" spans="13:13" ht="14.25" customHeight="1">
      <c r="M644" s="52"/>
    </row>
    <row r="645" spans="13:13" ht="14.25" customHeight="1">
      <c r="M645" s="52"/>
    </row>
    <row r="646" spans="13:13" ht="14.25" customHeight="1">
      <c r="M646" s="52"/>
    </row>
    <row r="647" spans="13:13" ht="14.25" customHeight="1">
      <c r="M647" s="52"/>
    </row>
    <row r="648" spans="13:13" ht="14.25" customHeight="1">
      <c r="M648" s="52"/>
    </row>
    <row r="649" spans="13:13" ht="14.25" customHeight="1">
      <c r="M649" s="52"/>
    </row>
    <row r="650" spans="13:13" ht="14.25" customHeight="1">
      <c r="M650" s="52"/>
    </row>
    <row r="651" spans="13:13" ht="14.25" customHeight="1">
      <c r="M651" s="52"/>
    </row>
    <row r="652" spans="13:13" ht="14.25" customHeight="1">
      <c r="M652" s="52"/>
    </row>
    <row r="653" spans="13:13" ht="14.25" customHeight="1">
      <c r="M653" s="52"/>
    </row>
    <row r="654" spans="13:13" ht="14.25" customHeight="1">
      <c r="M654" s="52"/>
    </row>
    <row r="655" spans="13:13" ht="14.25" customHeight="1">
      <c r="M655" s="52"/>
    </row>
    <row r="656" spans="13:13" ht="14.25" customHeight="1">
      <c r="M656" s="52"/>
    </row>
    <row r="657" spans="13:13" ht="14.25" customHeight="1">
      <c r="M657" s="52"/>
    </row>
    <row r="658" spans="13:13" ht="14.25" customHeight="1">
      <c r="M658" s="52"/>
    </row>
    <row r="659" spans="13:13" ht="14.25" customHeight="1">
      <c r="M659" s="52"/>
    </row>
    <row r="660" spans="13:13" ht="14.25" customHeight="1">
      <c r="M660" s="52"/>
    </row>
    <row r="661" spans="13:13" ht="14.25" customHeight="1">
      <c r="M661" s="52"/>
    </row>
    <row r="662" spans="13:13" ht="14.25" customHeight="1">
      <c r="M662" s="52"/>
    </row>
    <row r="663" spans="13:13" ht="14.25" customHeight="1">
      <c r="M663" s="52"/>
    </row>
    <row r="664" spans="13:13" ht="14.25" customHeight="1">
      <c r="M664" s="52"/>
    </row>
    <row r="665" spans="13:13" ht="14.25" customHeight="1">
      <c r="M665" s="52"/>
    </row>
    <row r="666" spans="13:13" ht="14.25" customHeight="1">
      <c r="M666" s="52"/>
    </row>
    <row r="667" spans="13:13" ht="14.25" customHeight="1">
      <c r="M667" s="52"/>
    </row>
    <row r="668" spans="13:13" ht="14.25" customHeight="1">
      <c r="M668" s="52"/>
    </row>
    <row r="669" spans="13:13" ht="14.25" customHeight="1">
      <c r="M669" s="52"/>
    </row>
    <row r="670" spans="13:13" ht="14.25" customHeight="1">
      <c r="M670" s="52"/>
    </row>
    <row r="671" spans="13:13" ht="14.25" customHeight="1">
      <c r="M671" s="52"/>
    </row>
    <row r="672" spans="13:13" ht="14.25" customHeight="1">
      <c r="M672" s="52"/>
    </row>
    <row r="673" spans="13:13" ht="14.25" customHeight="1">
      <c r="M673" s="52"/>
    </row>
    <row r="674" spans="13:13" ht="14.25" customHeight="1">
      <c r="M674" s="52"/>
    </row>
    <row r="675" spans="13:13" ht="14.25" customHeight="1">
      <c r="M675" s="52"/>
    </row>
    <row r="676" spans="13:13" ht="14.25" customHeight="1">
      <c r="M676" s="52"/>
    </row>
    <row r="677" spans="13:13" ht="14.25" customHeight="1">
      <c r="M677" s="52"/>
    </row>
    <row r="678" spans="13:13" ht="14.25" customHeight="1">
      <c r="M678" s="52"/>
    </row>
    <row r="679" spans="13:13" ht="14.25" customHeight="1">
      <c r="M679" s="52"/>
    </row>
    <row r="680" spans="13:13" ht="14.25" customHeight="1">
      <c r="M680" s="52"/>
    </row>
    <row r="681" spans="13:13" ht="14.25" customHeight="1">
      <c r="M681" s="52"/>
    </row>
    <row r="682" spans="13:13" ht="14.25" customHeight="1">
      <c r="M682" s="52"/>
    </row>
    <row r="683" spans="13:13" ht="14.25" customHeight="1">
      <c r="M683" s="52"/>
    </row>
    <row r="684" spans="13:13" ht="14.25" customHeight="1">
      <c r="M684" s="52"/>
    </row>
    <row r="685" spans="13:13" ht="14.25" customHeight="1">
      <c r="M685" s="52"/>
    </row>
    <row r="686" spans="13:13" ht="14.25" customHeight="1">
      <c r="M686" s="52"/>
    </row>
    <row r="687" spans="13:13" ht="14.25" customHeight="1">
      <c r="M687" s="52"/>
    </row>
    <row r="688" spans="13:13" ht="14.25" customHeight="1">
      <c r="M688" s="52"/>
    </row>
    <row r="689" spans="13:13" ht="14.25" customHeight="1">
      <c r="M689" s="52"/>
    </row>
    <row r="690" spans="13:13" ht="14.25" customHeight="1">
      <c r="M690" s="52"/>
    </row>
    <row r="691" spans="13:13" ht="14.25" customHeight="1">
      <c r="M691" s="52"/>
    </row>
    <row r="692" spans="13:13" ht="14.25" customHeight="1">
      <c r="M692" s="52"/>
    </row>
    <row r="693" spans="13:13" ht="14.25" customHeight="1">
      <c r="M693" s="52"/>
    </row>
    <row r="694" spans="13:13" ht="14.25" customHeight="1">
      <c r="M694" s="52"/>
    </row>
    <row r="695" spans="13:13" ht="14.25" customHeight="1">
      <c r="M695" s="52"/>
    </row>
    <row r="696" spans="13:13" ht="14.25" customHeight="1">
      <c r="M696" s="52"/>
    </row>
    <row r="697" spans="13:13" ht="14.25" customHeight="1">
      <c r="M697" s="52"/>
    </row>
    <row r="698" spans="13:13" ht="14.25" customHeight="1">
      <c r="M698" s="52"/>
    </row>
    <row r="699" spans="13:13" ht="14.25" customHeight="1">
      <c r="M699" s="52"/>
    </row>
    <row r="700" spans="13:13" ht="14.25" customHeight="1">
      <c r="M700" s="52"/>
    </row>
    <row r="701" spans="13:13" ht="14.25" customHeight="1">
      <c r="M701" s="52"/>
    </row>
    <row r="702" spans="13:13" ht="14.25" customHeight="1">
      <c r="M702" s="52"/>
    </row>
    <row r="703" spans="13:13" ht="14.25" customHeight="1">
      <c r="M703" s="52"/>
    </row>
    <row r="704" spans="13:13" ht="14.25" customHeight="1">
      <c r="M704" s="52"/>
    </row>
    <row r="705" spans="13:13" ht="14.25" customHeight="1">
      <c r="M705" s="52"/>
    </row>
    <row r="706" spans="13:13" ht="14.25" customHeight="1">
      <c r="M706" s="52"/>
    </row>
    <row r="707" spans="13:13" ht="14.25" customHeight="1">
      <c r="M707" s="52"/>
    </row>
    <row r="708" spans="13:13" ht="14.25" customHeight="1">
      <c r="M708" s="52"/>
    </row>
    <row r="709" spans="13:13" ht="14.25" customHeight="1">
      <c r="M709" s="52"/>
    </row>
    <row r="710" spans="13:13" ht="14.25" customHeight="1">
      <c r="M710" s="52"/>
    </row>
    <row r="711" spans="13:13" ht="14.25" customHeight="1">
      <c r="M711" s="52"/>
    </row>
    <row r="712" spans="13:13" ht="14.25" customHeight="1">
      <c r="M712" s="52"/>
    </row>
    <row r="713" spans="13:13" ht="14.25" customHeight="1">
      <c r="M713" s="52"/>
    </row>
    <row r="714" spans="13:13" ht="14.25" customHeight="1">
      <c r="M714" s="52"/>
    </row>
    <row r="715" spans="13:13" ht="14.25" customHeight="1">
      <c r="M715" s="52"/>
    </row>
    <row r="716" spans="13:13" ht="14.25" customHeight="1">
      <c r="M716" s="52"/>
    </row>
    <row r="717" spans="13:13" ht="14.25" customHeight="1">
      <c r="M717" s="52"/>
    </row>
    <row r="718" spans="13:13" ht="14.25" customHeight="1">
      <c r="M718" s="52"/>
    </row>
    <row r="719" spans="13:13" ht="14.25" customHeight="1">
      <c r="M719" s="52"/>
    </row>
    <row r="720" spans="13:13" ht="14.25" customHeight="1">
      <c r="M720" s="52"/>
    </row>
    <row r="721" spans="13:13" ht="14.25" customHeight="1">
      <c r="M721" s="52"/>
    </row>
    <row r="722" spans="13:13" ht="14.25" customHeight="1">
      <c r="M722" s="52"/>
    </row>
    <row r="723" spans="13:13" ht="14.25" customHeight="1">
      <c r="M723" s="52"/>
    </row>
    <row r="724" spans="13:13" ht="14.25" customHeight="1">
      <c r="M724" s="52"/>
    </row>
    <row r="725" spans="13:13" ht="14.25" customHeight="1">
      <c r="M725" s="52"/>
    </row>
    <row r="726" spans="13:13" ht="14.25" customHeight="1">
      <c r="M726" s="52"/>
    </row>
    <row r="727" spans="13:13" ht="14.25" customHeight="1">
      <c r="M727" s="52"/>
    </row>
    <row r="728" spans="13:13" ht="14.25" customHeight="1">
      <c r="M728" s="52"/>
    </row>
    <row r="729" spans="13:13" ht="14.25" customHeight="1">
      <c r="M729" s="52"/>
    </row>
    <row r="730" spans="13:13" ht="14.25" customHeight="1">
      <c r="M730" s="52"/>
    </row>
    <row r="731" spans="13:13" ht="14.25" customHeight="1">
      <c r="M731" s="52"/>
    </row>
    <row r="732" spans="13:13" ht="14.25" customHeight="1">
      <c r="M732" s="52"/>
    </row>
    <row r="733" spans="13:13" ht="14.25" customHeight="1">
      <c r="M733" s="52"/>
    </row>
    <row r="734" spans="13:13" ht="14.25" customHeight="1">
      <c r="M734" s="52"/>
    </row>
    <row r="735" spans="13:13" ht="14.25" customHeight="1">
      <c r="M735" s="52"/>
    </row>
    <row r="736" spans="13:13" ht="14.25" customHeight="1">
      <c r="M736" s="52"/>
    </row>
    <row r="737" spans="13:13" ht="14.25" customHeight="1">
      <c r="M737" s="52"/>
    </row>
    <row r="738" spans="13:13" ht="14.25" customHeight="1">
      <c r="M738" s="52"/>
    </row>
    <row r="739" spans="13:13" ht="14.25" customHeight="1">
      <c r="M739" s="52"/>
    </row>
    <row r="740" spans="13:13" ht="14.25" customHeight="1">
      <c r="M740" s="52"/>
    </row>
    <row r="741" spans="13:13" ht="14.25" customHeight="1">
      <c r="M741" s="52"/>
    </row>
    <row r="742" spans="13:13" ht="14.25" customHeight="1">
      <c r="M742" s="52"/>
    </row>
    <row r="743" spans="13:13" ht="14.25" customHeight="1">
      <c r="M743" s="52"/>
    </row>
    <row r="744" spans="13:13" ht="14.25" customHeight="1">
      <c r="M744" s="52"/>
    </row>
    <row r="745" spans="13:13" ht="14.25" customHeight="1">
      <c r="M745" s="52"/>
    </row>
    <row r="746" spans="13:13" ht="14.25" customHeight="1">
      <c r="M746" s="52"/>
    </row>
    <row r="747" spans="13:13" ht="14.25" customHeight="1">
      <c r="M747" s="52"/>
    </row>
    <row r="748" spans="13:13" ht="14.25" customHeight="1">
      <c r="M748" s="52"/>
    </row>
    <row r="749" spans="13:13" ht="14.25" customHeight="1">
      <c r="M749" s="52"/>
    </row>
    <row r="750" spans="13:13" ht="14.25" customHeight="1">
      <c r="M750" s="52"/>
    </row>
    <row r="751" spans="13:13" ht="14.25" customHeight="1">
      <c r="M751" s="52"/>
    </row>
    <row r="752" spans="13:13" ht="14.25" customHeight="1">
      <c r="M752" s="52"/>
    </row>
    <row r="753" spans="13:13" ht="14.25" customHeight="1">
      <c r="M753" s="52"/>
    </row>
    <row r="754" spans="13:13" ht="14.25" customHeight="1">
      <c r="M754" s="52"/>
    </row>
    <row r="755" spans="13:13" ht="14.25" customHeight="1">
      <c r="M755" s="52"/>
    </row>
    <row r="756" spans="13:13" ht="14.25" customHeight="1">
      <c r="M756" s="52"/>
    </row>
    <row r="757" spans="13:13" ht="14.25" customHeight="1">
      <c r="M757" s="52"/>
    </row>
    <row r="758" spans="13:13" ht="14.25" customHeight="1">
      <c r="M758" s="52"/>
    </row>
    <row r="759" spans="13:13" ht="14.25" customHeight="1">
      <c r="M759" s="52"/>
    </row>
    <row r="760" spans="13:13" ht="14.25" customHeight="1">
      <c r="M760" s="52"/>
    </row>
    <row r="761" spans="13:13" ht="14.25" customHeight="1">
      <c r="M761" s="52"/>
    </row>
    <row r="762" spans="13:13" ht="14.25" customHeight="1">
      <c r="M762" s="52"/>
    </row>
    <row r="763" spans="13:13" ht="14.25" customHeight="1">
      <c r="M763" s="52"/>
    </row>
    <row r="764" spans="13:13" ht="14.25" customHeight="1">
      <c r="M764" s="52"/>
    </row>
    <row r="765" spans="13:13" ht="14.25" customHeight="1">
      <c r="M765" s="52"/>
    </row>
    <row r="766" spans="13:13" ht="14.25" customHeight="1">
      <c r="M766" s="52"/>
    </row>
    <row r="767" spans="13:13" ht="14.25" customHeight="1">
      <c r="M767" s="52"/>
    </row>
    <row r="768" spans="13:13" ht="14.25" customHeight="1">
      <c r="M768" s="52"/>
    </row>
    <row r="769" spans="13:13" ht="14.25" customHeight="1">
      <c r="M769" s="52"/>
    </row>
    <row r="770" spans="13:13" ht="14.25" customHeight="1">
      <c r="M770" s="52"/>
    </row>
    <row r="771" spans="13:13" ht="14.25" customHeight="1">
      <c r="M771" s="52"/>
    </row>
    <row r="772" spans="13:13" ht="14.25" customHeight="1">
      <c r="M772" s="52"/>
    </row>
    <row r="773" spans="13:13" ht="14.25" customHeight="1">
      <c r="M773" s="52"/>
    </row>
    <row r="774" spans="13:13" ht="14.25" customHeight="1">
      <c r="M774" s="52"/>
    </row>
    <row r="775" spans="13:13" ht="14.25" customHeight="1">
      <c r="M775" s="52"/>
    </row>
    <row r="776" spans="13:13" ht="14.25" customHeight="1">
      <c r="M776" s="52"/>
    </row>
    <row r="777" spans="13:13" ht="14.25" customHeight="1">
      <c r="M777" s="52"/>
    </row>
    <row r="778" spans="13:13" ht="14.25" customHeight="1">
      <c r="M778" s="52"/>
    </row>
    <row r="779" spans="13:13" ht="14.25" customHeight="1">
      <c r="M779" s="52"/>
    </row>
    <row r="780" spans="13:13" ht="14.25" customHeight="1">
      <c r="M780" s="52"/>
    </row>
    <row r="781" spans="13:13" ht="14.25" customHeight="1">
      <c r="M781" s="52"/>
    </row>
    <row r="782" spans="13:13" ht="14.25" customHeight="1">
      <c r="M782" s="52"/>
    </row>
    <row r="783" spans="13:13" ht="14.25" customHeight="1">
      <c r="M783" s="52"/>
    </row>
    <row r="784" spans="13:13" ht="14.25" customHeight="1">
      <c r="M784" s="52"/>
    </row>
    <row r="785" spans="13:13" ht="14.25" customHeight="1">
      <c r="M785" s="52"/>
    </row>
    <row r="786" spans="13:13" ht="14.25" customHeight="1">
      <c r="M786" s="52"/>
    </row>
    <row r="787" spans="13:13" ht="14.25" customHeight="1">
      <c r="M787" s="52"/>
    </row>
    <row r="788" spans="13:13" ht="14.25" customHeight="1">
      <c r="M788" s="52"/>
    </row>
    <row r="789" spans="13:13" ht="14.25" customHeight="1">
      <c r="M789" s="52"/>
    </row>
    <row r="790" spans="13:13" ht="14.25" customHeight="1">
      <c r="M790" s="52"/>
    </row>
    <row r="791" spans="13:13" ht="14.25" customHeight="1">
      <c r="M791" s="52"/>
    </row>
    <row r="792" spans="13:13" ht="14.25" customHeight="1">
      <c r="M792" s="52"/>
    </row>
    <row r="793" spans="13:13" ht="14.25" customHeight="1">
      <c r="M793" s="52"/>
    </row>
    <row r="794" spans="13:13" ht="14.25" customHeight="1">
      <c r="M794" s="52"/>
    </row>
    <row r="795" spans="13:13" ht="14.25" customHeight="1">
      <c r="M795" s="52"/>
    </row>
    <row r="796" spans="13:13" ht="14.25" customHeight="1">
      <c r="M796" s="52"/>
    </row>
    <row r="797" spans="13:13" ht="14.25" customHeight="1">
      <c r="M797" s="52"/>
    </row>
    <row r="798" spans="13:13" ht="14.25" customHeight="1">
      <c r="M798" s="52"/>
    </row>
    <row r="799" spans="13:13" ht="14.25" customHeight="1">
      <c r="M799" s="52"/>
    </row>
    <row r="800" spans="13:13" ht="14.25" customHeight="1">
      <c r="M800" s="52"/>
    </row>
    <row r="801" spans="13:13" ht="14.25" customHeight="1">
      <c r="M801" s="52"/>
    </row>
    <row r="802" spans="13:13" ht="14.25" customHeight="1">
      <c r="M802" s="52"/>
    </row>
    <row r="803" spans="13:13" ht="14.25" customHeight="1">
      <c r="M803" s="52"/>
    </row>
    <row r="804" spans="13:13" ht="14.25" customHeight="1">
      <c r="M804" s="52"/>
    </row>
    <row r="805" spans="13:13" ht="14.25" customHeight="1">
      <c r="M805" s="52"/>
    </row>
    <row r="806" spans="13:13" ht="14.25" customHeight="1">
      <c r="M806" s="52"/>
    </row>
    <row r="807" spans="13:13" ht="14.25" customHeight="1">
      <c r="M807" s="52"/>
    </row>
    <row r="808" spans="13:13" ht="14.25" customHeight="1">
      <c r="M808" s="52"/>
    </row>
    <row r="809" spans="13:13" ht="14.25" customHeight="1">
      <c r="M809" s="52"/>
    </row>
    <row r="810" spans="13:13" ht="14.25" customHeight="1">
      <c r="M810" s="52"/>
    </row>
    <row r="811" spans="13:13" ht="14.25" customHeight="1">
      <c r="M811" s="52"/>
    </row>
    <row r="812" spans="13:13" ht="14.25" customHeight="1">
      <c r="M812" s="52"/>
    </row>
    <row r="813" spans="13:13" ht="14.25" customHeight="1">
      <c r="M813" s="52"/>
    </row>
    <row r="814" spans="13:13" ht="14.25" customHeight="1">
      <c r="M814" s="52"/>
    </row>
    <row r="815" spans="13:13" ht="14.25" customHeight="1">
      <c r="M815" s="52"/>
    </row>
    <row r="816" spans="13:13" ht="14.25" customHeight="1">
      <c r="M816" s="52"/>
    </row>
    <row r="817" spans="13:13" ht="14.25" customHeight="1">
      <c r="M817" s="52"/>
    </row>
    <row r="818" spans="13:13" ht="14.25" customHeight="1">
      <c r="M818" s="52"/>
    </row>
    <row r="819" spans="13:13" ht="14.25" customHeight="1">
      <c r="M819" s="52"/>
    </row>
    <row r="820" spans="13:13" ht="14.25" customHeight="1">
      <c r="M820" s="52"/>
    </row>
    <row r="821" spans="13:13" ht="14.25" customHeight="1">
      <c r="M821" s="52"/>
    </row>
    <row r="822" spans="13:13" ht="14.25" customHeight="1">
      <c r="M822" s="52"/>
    </row>
    <row r="823" spans="13:13" ht="14.25" customHeight="1">
      <c r="M823" s="52"/>
    </row>
    <row r="824" spans="13:13" ht="14.25" customHeight="1">
      <c r="M824" s="52"/>
    </row>
    <row r="825" spans="13:13" ht="14.25" customHeight="1">
      <c r="M825" s="52"/>
    </row>
    <row r="826" spans="13:13" ht="14.25" customHeight="1">
      <c r="M826" s="52"/>
    </row>
    <row r="827" spans="13:13" ht="14.25" customHeight="1">
      <c r="M827" s="52"/>
    </row>
    <row r="828" spans="13:13" ht="14.25" customHeight="1">
      <c r="M828" s="52"/>
    </row>
    <row r="829" spans="13:13" ht="14.25" customHeight="1">
      <c r="M829" s="52"/>
    </row>
    <row r="830" spans="13:13" ht="14.25" customHeight="1">
      <c r="M830" s="52"/>
    </row>
    <row r="831" spans="13:13" ht="14.25" customHeight="1">
      <c r="M831" s="52"/>
    </row>
    <row r="832" spans="13:13" ht="14.25" customHeight="1">
      <c r="M832" s="52"/>
    </row>
    <row r="833" spans="13:13" ht="14.25" customHeight="1">
      <c r="M833" s="52"/>
    </row>
    <row r="834" spans="13:13" ht="14.25" customHeight="1">
      <c r="M834" s="52"/>
    </row>
    <row r="835" spans="13:13" ht="14.25" customHeight="1">
      <c r="M835" s="52"/>
    </row>
    <row r="836" spans="13:13" ht="14.25" customHeight="1">
      <c r="M836" s="52"/>
    </row>
    <row r="837" spans="13:13" ht="14.25" customHeight="1">
      <c r="M837" s="52"/>
    </row>
    <row r="838" spans="13:13" ht="14.25" customHeight="1">
      <c r="M838" s="52"/>
    </row>
    <row r="839" spans="13:13" ht="14.25" customHeight="1">
      <c r="M839" s="52"/>
    </row>
    <row r="840" spans="13:13" ht="14.25" customHeight="1">
      <c r="M840" s="52"/>
    </row>
    <row r="841" spans="13:13" ht="14.25" customHeight="1">
      <c r="M841" s="52"/>
    </row>
    <row r="842" spans="13:13" ht="14.25" customHeight="1">
      <c r="M842" s="52"/>
    </row>
    <row r="843" spans="13:13" ht="14.25" customHeight="1">
      <c r="M843" s="52"/>
    </row>
    <row r="844" spans="13:13" ht="14.25" customHeight="1">
      <c r="M844" s="52"/>
    </row>
    <row r="845" spans="13:13" ht="14.25" customHeight="1">
      <c r="M845" s="52"/>
    </row>
    <row r="846" spans="13:13" ht="14.25" customHeight="1">
      <c r="M846" s="52"/>
    </row>
    <row r="847" spans="13:13" ht="14.25" customHeight="1">
      <c r="M847" s="52"/>
    </row>
    <row r="848" spans="13:13" ht="14.25" customHeight="1">
      <c r="M848" s="52"/>
    </row>
    <row r="849" spans="13:13" ht="14.25" customHeight="1">
      <c r="M849" s="52"/>
    </row>
    <row r="850" spans="13:13" ht="14.25" customHeight="1">
      <c r="M850" s="52"/>
    </row>
    <row r="851" spans="13:13" ht="14.25" customHeight="1">
      <c r="M851" s="52"/>
    </row>
    <row r="852" spans="13:13" ht="14.25" customHeight="1">
      <c r="M852" s="52"/>
    </row>
    <row r="853" spans="13:13" ht="14.25" customHeight="1">
      <c r="M853" s="52"/>
    </row>
    <row r="854" spans="13:13" ht="14.25" customHeight="1">
      <c r="M854" s="52"/>
    </row>
    <row r="855" spans="13:13" ht="14.25" customHeight="1">
      <c r="M855" s="52"/>
    </row>
    <row r="856" spans="13:13" ht="14.25" customHeight="1">
      <c r="M856" s="52"/>
    </row>
    <row r="857" spans="13:13" ht="14.25" customHeight="1">
      <c r="M857" s="52"/>
    </row>
    <row r="858" spans="13:13" ht="14.25" customHeight="1">
      <c r="M858" s="52"/>
    </row>
    <row r="859" spans="13:13" ht="14.25" customHeight="1">
      <c r="M859" s="52"/>
    </row>
    <row r="860" spans="13:13" ht="14.25" customHeight="1">
      <c r="M860" s="52"/>
    </row>
    <row r="861" spans="13:13" ht="14.25" customHeight="1">
      <c r="M861" s="52"/>
    </row>
    <row r="862" spans="13:13" ht="14.25" customHeight="1">
      <c r="M862" s="52"/>
    </row>
    <row r="863" spans="13:13" ht="14.25" customHeight="1">
      <c r="M863" s="52"/>
    </row>
    <row r="864" spans="13:13" ht="14.25" customHeight="1">
      <c r="M864" s="52"/>
    </row>
    <row r="865" spans="13:13" ht="14.25" customHeight="1">
      <c r="M865" s="52"/>
    </row>
    <row r="866" spans="13:13" ht="14.25" customHeight="1">
      <c r="M866" s="52"/>
    </row>
    <row r="867" spans="13:13" ht="14.25" customHeight="1">
      <c r="M867" s="52"/>
    </row>
    <row r="868" spans="13:13" ht="14.25" customHeight="1">
      <c r="M868" s="52"/>
    </row>
    <row r="869" spans="13:13" ht="14.25" customHeight="1">
      <c r="M869" s="52"/>
    </row>
    <row r="870" spans="13:13" ht="14.25" customHeight="1">
      <c r="M870" s="52"/>
    </row>
    <row r="871" spans="13:13" ht="14.25" customHeight="1">
      <c r="M871" s="52"/>
    </row>
    <row r="872" spans="13:13" ht="14.25" customHeight="1">
      <c r="M872" s="52"/>
    </row>
    <row r="873" spans="13:13" ht="14.25" customHeight="1">
      <c r="M873" s="52"/>
    </row>
    <row r="874" spans="13:13" ht="14.25" customHeight="1">
      <c r="M874" s="52"/>
    </row>
    <row r="875" spans="13:13" ht="14.25" customHeight="1">
      <c r="M875" s="52"/>
    </row>
    <row r="876" spans="13:13" ht="14.25" customHeight="1">
      <c r="M876" s="52"/>
    </row>
    <row r="877" spans="13:13" ht="14.25" customHeight="1">
      <c r="M877" s="52"/>
    </row>
    <row r="878" spans="13:13" ht="14.25" customHeight="1">
      <c r="M878" s="52"/>
    </row>
    <row r="879" spans="13:13" ht="14.25" customHeight="1">
      <c r="M879" s="52"/>
    </row>
    <row r="880" spans="13:13" ht="14.25" customHeight="1">
      <c r="M880" s="52"/>
    </row>
    <row r="881" spans="13:13" ht="14.25" customHeight="1">
      <c r="M881" s="52"/>
    </row>
    <row r="882" spans="13:13" ht="14.25" customHeight="1">
      <c r="M882" s="52"/>
    </row>
    <row r="883" spans="13:13" ht="14.25" customHeight="1">
      <c r="M883" s="52"/>
    </row>
    <row r="884" spans="13:13" ht="14.25" customHeight="1">
      <c r="M884" s="52"/>
    </row>
    <row r="885" spans="13:13" ht="14.25" customHeight="1">
      <c r="M885" s="52"/>
    </row>
    <row r="886" spans="13:13" ht="14.25" customHeight="1">
      <c r="M886" s="52"/>
    </row>
    <row r="887" spans="13:13" ht="14.25" customHeight="1">
      <c r="M887" s="52"/>
    </row>
    <row r="888" spans="13:13" ht="14.25" customHeight="1">
      <c r="M888" s="52"/>
    </row>
    <row r="889" spans="13:13" ht="14.25" customHeight="1">
      <c r="M889" s="52"/>
    </row>
    <row r="890" spans="13:13" ht="14.25" customHeight="1">
      <c r="M890" s="52"/>
    </row>
    <row r="891" spans="13:13" ht="14.25" customHeight="1">
      <c r="M891" s="52"/>
    </row>
    <row r="892" spans="13:13" ht="14.25" customHeight="1">
      <c r="M892" s="52"/>
    </row>
    <row r="893" spans="13:13" ht="14.25" customHeight="1">
      <c r="M893" s="52"/>
    </row>
    <row r="894" spans="13:13" ht="14.25" customHeight="1">
      <c r="M894" s="52"/>
    </row>
    <row r="895" spans="13:13" ht="14.25" customHeight="1">
      <c r="M895" s="52"/>
    </row>
    <row r="896" spans="13:13" ht="14.25" customHeight="1">
      <c r="M896" s="52"/>
    </row>
    <row r="897" spans="13:13" ht="14.25" customHeight="1">
      <c r="M897" s="52"/>
    </row>
    <row r="898" spans="13:13" ht="14.25" customHeight="1">
      <c r="M898" s="52"/>
    </row>
    <row r="899" spans="13:13" ht="14.25" customHeight="1">
      <c r="M899" s="52"/>
    </row>
    <row r="900" spans="13:13" ht="14.25" customHeight="1">
      <c r="M900" s="52"/>
    </row>
    <row r="901" spans="13:13" ht="14.25" customHeight="1">
      <c r="M901" s="52"/>
    </row>
    <row r="902" spans="13:13" ht="14.25" customHeight="1">
      <c r="M902" s="52"/>
    </row>
    <row r="903" spans="13:13" ht="14.25" customHeight="1">
      <c r="M903" s="52"/>
    </row>
    <row r="904" spans="13:13" ht="14.25" customHeight="1">
      <c r="M904" s="52"/>
    </row>
    <row r="905" spans="13:13" ht="14.25" customHeight="1">
      <c r="M905" s="52"/>
    </row>
    <row r="906" spans="13:13" ht="14.25" customHeight="1">
      <c r="M906" s="52"/>
    </row>
    <row r="907" spans="13:13" ht="14.25" customHeight="1">
      <c r="M907" s="52"/>
    </row>
    <row r="908" spans="13:13" ht="14.25" customHeight="1">
      <c r="M908" s="52"/>
    </row>
    <row r="909" spans="13:13" ht="14.25" customHeight="1">
      <c r="M909" s="52"/>
    </row>
    <row r="910" spans="13:13" ht="14.25" customHeight="1">
      <c r="M910" s="52"/>
    </row>
    <row r="911" spans="13:13" ht="14.25" customHeight="1">
      <c r="M911" s="52"/>
    </row>
    <row r="912" spans="13:13" ht="14.25" customHeight="1">
      <c r="M912" s="52"/>
    </row>
    <row r="913" spans="13:13" ht="14.25" customHeight="1">
      <c r="M913" s="52"/>
    </row>
    <row r="914" spans="13:13" ht="14.25" customHeight="1">
      <c r="M914" s="52"/>
    </row>
    <row r="915" spans="13:13" ht="14.25" customHeight="1">
      <c r="M915" s="52"/>
    </row>
    <row r="916" spans="13:13" ht="14.25" customHeight="1">
      <c r="M916" s="52"/>
    </row>
    <row r="917" spans="13:13" ht="14.25" customHeight="1">
      <c r="M917" s="52"/>
    </row>
    <row r="918" spans="13:13" ht="14.25" customHeight="1">
      <c r="M918" s="52"/>
    </row>
    <row r="919" spans="13:13" ht="14.25" customHeight="1">
      <c r="M919" s="52"/>
    </row>
    <row r="920" spans="13:13" ht="14.25" customHeight="1">
      <c r="M920" s="52"/>
    </row>
    <row r="921" spans="13:13" ht="14.25" customHeight="1">
      <c r="M921" s="52"/>
    </row>
    <row r="922" spans="13:13" ht="14.25" customHeight="1">
      <c r="M922" s="52"/>
    </row>
    <row r="923" spans="13:13" ht="14.25" customHeight="1">
      <c r="M923" s="52"/>
    </row>
    <row r="924" spans="13:13" ht="14.25" customHeight="1">
      <c r="M924" s="52"/>
    </row>
    <row r="925" spans="13:13" ht="14.25" customHeight="1">
      <c r="M925" s="52"/>
    </row>
    <row r="926" spans="13:13" ht="14.25" customHeight="1">
      <c r="M926" s="52"/>
    </row>
    <row r="927" spans="13:13" ht="14.25" customHeight="1">
      <c r="M927" s="52"/>
    </row>
    <row r="928" spans="13:13" ht="14.25" customHeight="1">
      <c r="M928" s="52"/>
    </row>
    <row r="929" spans="13:13" ht="14.25" customHeight="1">
      <c r="M929" s="52"/>
    </row>
    <row r="930" spans="13:13" ht="14.25" customHeight="1">
      <c r="M930" s="52"/>
    </row>
    <row r="931" spans="13:13" ht="14.25" customHeight="1">
      <c r="M931" s="52"/>
    </row>
    <row r="932" spans="13:13" ht="14.25" customHeight="1">
      <c r="M932" s="52"/>
    </row>
    <row r="933" spans="13:13" ht="14.25" customHeight="1">
      <c r="M933" s="52"/>
    </row>
    <row r="934" spans="13:13" ht="14.25" customHeight="1">
      <c r="M934" s="52"/>
    </row>
    <row r="935" spans="13:13" ht="14.25" customHeight="1">
      <c r="M935" s="52"/>
    </row>
    <row r="936" spans="13:13" ht="14.25" customHeight="1">
      <c r="M936" s="52"/>
    </row>
    <row r="937" spans="13:13" ht="14.25" customHeight="1">
      <c r="M937" s="52"/>
    </row>
    <row r="938" spans="13:13" ht="14.25" customHeight="1">
      <c r="M938" s="52"/>
    </row>
    <row r="939" spans="13:13" ht="14.25" customHeight="1">
      <c r="M939" s="52"/>
    </row>
    <row r="940" spans="13:13" ht="14.25" customHeight="1">
      <c r="M940" s="52"/>
    </row>
  </sheetData>
  <sheetProtection algorithmName="SHA-512" hashValue="YSb90OK0/Pl7vbAiUsd5teNV0dRp+NyihW+xphZBVwySpFV+Vbsh54OoaBmQqe5Y9IIi/lXoFFOaa9hhm6W8Dg==" saltValue="Fu7KomlZ7PHW2KsBy+3RsA==" spinCount="100000" sheet="1" objects="1" scenarios="1" selectLockedCells="1"/>
  <mergeCells count="1">
    <mergeCell ref="C4:E4"/>
  </mergeCells>
  <pageMargins left="0.7" right="0.7" top="0.78740157499999996" bottom="0.78740157499999996" header="0" footer="0"/>
  <pageSetup paperSize="9" scale="5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>
      <selection activeCell="E49" sqref="E49"/>
    </sheetView>
  </sheetViews>
  <sheetFormatPr baseColWidth="10" defaultColWidth="14.42578125" defaultRowHeight="15" customHeight="1"/>
  <cols>
    <col min="1" max="1" width="53.140625" customWidth="1"/>
    <col min="2" max="2" width="12.140625" customWidth="1"/>
    <col min="3" max="7" width="11.42578125" customWidth="1"/>
    <col min="8" max="8" width="14" customWidth="1"/>
    <col min="9" max="13" width="11.42578125" customWidth="1"/>
    <col min="14" max="14" width="14.140625" customWidth="1"/>
    <col min="15" max="16" width="11.42578125" customWidth="1"/>
    <col min="17" max="17" width="15.85546875" customWidth="1"/>
    <col min="18" max="18" width="12.85546875" customWidth="1"/>
    <col min="19" max="20" width="12.7109375" customWidth="1"/>
    <col min="21" max="21" width="13.140625" customWidth="1"/>
    <col min="22" max="41" width="11.42578125" customWidth="1"/>
  </cols>
  <sheetData>
    <row r="1" spans="1:16" ht="14.25" customHeight="1"/>
    <row r="2" spans="1:16" ht="14.25" customHeight="1">
      <c r="O2" s="32" t="str">
        <f>Translation!B120</f>
        <v>Thermal losses cold month in kWh</v>
      </c>
    </row>
    <row r="3" spans="1:16" ht="14.25" customHeight="1">
      <c r="A3" s="44"/>
      <c r="B3" s="62" t="s">
        <v>63</v>
      </c>
      <c r="C3" s="62" t="s">
        <v>64</v>
      </c>
      <c r="D3" s="62" t="s">
        <v>65</v>
      </c>
      <c r="E3" s="62" t="s">
        <v>66</v>
      </c>
      <c r="F3" s="62" t="s">
        <v>67</v>
      </c>
      <c r="G3" s="62" t="s">
        <v>68</v>
      </c>
      <c r="H3" s="62" t="s">
        <v>69</v>
      </c>
      <c r="I3" s="62" t="s">
        <v>70</v>
      </c>
      <c r="J3" s="62" t="s">
        <v>71</v>
      </c>
      <c r="K3" s="62" t="s">
        <v>72</v>
      </c>
      <c r="L3" s="62" t="s">
        <v>73</v>
      </c>
      <c r="M3" s="62" t="s">
        <v>74</v>
      </c>
      <c r="N3" s="63" t="s">
        <v>75</v>
      </c>
      <c r="O3" s="33">
        <v>0</v>
      </c>
      <c r="P3" s="33">
        <v>0</v>
      </c>
    </row>
    <row r="4" spans="1:16" ht="14.25" customHeight="1">
      <c r="A4" s="62" t="s">
        <v>76</v>
      </c>
      <c r="B4" s="64">
        <v>27</v>
      </c>
      <c r="C4" s="64">
        <v>25.6</v>
      </c>
      <c r="D4" s="64">
        <v>26.1</v>
      </c>
      <c r="E4" s="64">
        <v>27</v>
      </c>
      <c r="F4" s="64">
        <v>27.2</v>
      </c>
      <c r="G4" s="64">
        <v>27</v>
      </c>
      <c r="H4" s="64">
        <v>27</v>
      </c>
      <c r="I4" s="64">
        <v>27.6</v>
      </c>
      <c r="J4" s="64">
        <v>28.1</v>
      </c>
      <c r="K4" s="64">
        <v>28.9</v>
      </c>
      <c r="L4" s="64">
        <v>27.8</v>
      </c>
      <c r="M4" s="64" t="s">
        <v>481</v>
      </c>
      <c r="O4" s="33">
        <v>24</v>
      </c>
      <c r="P4" s="65">
        <f>MIN(B6:M6)</f>
        <v>13.640140800000001</v>
      </c>
    </row>
    <row r="5" spans="1:16" ht="14.25" customHeight="1">
      <c r="A5" s="62" t="s">
        <v>77</v>
      </c>
      <c r="B5" s="64">
        <v>4.8729032258064517</v>
      </c>
      <c r="C5" s="64">
        <v>5.2857142857142856</v>
      </c>
      <c r="D5" s="64">
        <v>5.241935483870968</v>
      </c>
      <c r="E5" s="64">
        <v>5.6116666666666664</v>
      </c>
      <c r="F5" s="64">
        <v>5.064516129032258</v>
      </c>
      <c r="G5" s="64">
        <v>4.9899999999999993</v>
      </c>
      <c r="H5" s="64">
        <v>5.1025806451612903</v>
      </c>
      <c r="I5" s="64">
        <v>5.89</v>
      </c>
      <c r="J5" s="64">
        <v>6.5476666666666672</v>
      </c>
      <c r="K5" s="64">
        <v>6.604516129032258</v>
      </c>
      <c r="L5" s="64">
        <v>5.8</v>
      </c>
      <c r="M5" s="64">
        <v>5.685806451612903</v>
      </c>
      <c r="O5" s="33" t="str">
        <f>Translation!B121</f>
        <v>Thermal losses hot month in kWh</v>
      </c>
      <c r="P5" s="33"/>
    </row>
    <row r="6" spans="1:16" ht="14.25" customHeight="1">
      <c r="A6" s="66" t="s">
        <v>78</v>
      </c>
      <c r="B6" s="67">
        <f>(1)*($E$57*$E$60*(B4-$E$40)*24/1000)</f>
        <v>14.524223999999998</v>
      </c>
      <c r="C6" s="67">
        <f t="shared" ref="C6:M6" si="0">(1)*($E$57*$E$60*(C4-$E$40)*24/1000)</f>
        <v>13.640140800000001</v>
      </c>
      <c r="D6" s="67">
        <f t="shared" si="0"/>
        <v>13.9558848</v>
      </c>
      <c r="E6" s="67">
        <f t="shared" si="0"/>
        <v>14.524223999999998</v>
      </c>
      <c r="F6" s="67">
        <f t="shared" si="0"/>
        <v>14.650521599999996</v>
      </c>
      <c r="G6" s="67">
        <f t="shared" si="0"/>
        <v>14.524223999999998</v>
      </c>
      <c r="H6" s="67">
        <f t="shared" si="0"/>
        <v>14.524223999999998</v>
      </c>
      <c r="I6" s="67">
        <f t="shared" si="0"/>
        <v>14.903116799999999</v>
      </c>
      <c r="J6" s="67">
        <f t="shared" si="0"/>
        <v>15.218860799999998</v>
      </c>
      <c r="K6" s="67">
        <f t="shared" si="0"/>
        <v>15.724051199999998</v>
      </c>
      <c r="L6" s="67">
        <f t="shared" si="0"/>
        <v>15.0294144</v>
      </c>
      <c r="M6" s="67">
        <f t="shared" si="0"/>
        <v>14.397926400000001</v>
      </c>
      <c r="N6" s="68">
        <f>MAX(B6:M6)</f>
        <v>15.724051199999998</v>
      </c>
      <c r="O6" s="33">
        <v>0</v>
      </c>
      <c r="P6" s="65">
        <v>0</v>
      </c>
    </row>
    <row r="7" spans="1:16" ht="14.25" customHeight="1">
      <c r="A7" s="66" t="s">
        <v>79</v>
      </c>
      <c r="B7" s="67">
        <f t="shared" ref="B7:M7" si="1">MAX($E$28*$E$32*($E$39-MAX($E$40,0))/3600,0)</f>
        <v>11.276640573333337</v>
      </c>
      <c r="C7" s="67">
        <f t="shared" si="1"/>
        <v>11.276640573333337</v>
      </c>
      <c r="D7" s="67">
        <f t="shared" si="1"/>
        <v>11.276640573333337</v>
      </c>
      <c r="E7" s="67">
        <f t="shared" si="1"/>
        <v>11.276640573333337</v>
      </c>
      <c r="F7" s="67">
        <f t="shared" si="1"/>
        <v>11.276640573333337</v>
      </c>
      <c r="G7" s="67">
        <f t="shared" si="1"/>
        <v>11.276640573333337</v>
      </c>
      <c r="H7" s="67">
        <f t="shared" si="1"/>
        <v>11.276640573333337</v>
      </c>
      <c r="I7" s="67">
        <f t="shared" si="1"/>
        <v>11.276640573333337</v>
      </c>
      <c r="J7" s="67">
        <f t="shared" si="1"/>
        <v>11.276640573333337</v>
      </c>
      <c r="K7" s="67">
        <f t="shared" si="1"/>
        <v>11.276640573333337</v>
      </c>
      <c r="L7" s="67">
        <f t="shared" si="1"/>
        <v>11.276640573333337</v>
      </c>
      <c r="M7" s="67">
        <f t="shared" si="1"/>
        <v>11.276640573333337</v>
      </c>
      <c r="O7" s="69">
        <v>24</v>
      </c>
      <c r="P7" s="68">
        <f>MAX(B6:M6)</f>
        <v>15.724051199999998</v>
      </c>
    </row>
    <row r="8" spans="1:16" ht="14.25" customHeight="1">
      <c r="A8" s="66" t="s">
        <v>80</v>
      </c>
      <c r="B8" s="67">
        <f>IF($E$39&gt;0,$E$28*$E$32*80/3600,0)</f>
        <v>42.958630755555561</v>
      </c>
      <c r="C8" s="67">
        <f t="shared" ref="C8:M8" si="2">IF($E$39&gt;0,$E$28*$E$32*80/3600,0)</f>
        <v>42.958630755555561</v>
      </c>
      <c r="D8" s="67">
        <f t="shared" si="2"/>
        <v>42.958630755555561</v>
      </c>
      <c r="E8" s="67">
        <f t="shared" si="2"/>
        <v>42.958630755555561</v>
      </c>
      <c r="F8" s="67">
        <f t="shared" si="2"/>
        <v>42.958630755555561</v>
      </c>
      <c r="G8" s="67">
        <f t="shared" si="2"/>
        <v>42.958630755555561</v>
      </c>
      <c r="H8" s="67">
        <f t="shared" si="2"/>
        <v>42.958630755555561</v>
      </c>
      <c r="I8" s="67">
        <f t="shared" si="2"/>
        <v>42.958630755555561</v>
      </c>
      <c r="J8" s="67">
        <f t="shared" si="2"/>
        <v>42.958630755555561</v>
      </c>
      <c r="K8" s="67">
        <f t="shared" si="2"/>
        <v>42.958630755555561</v>
      </c>
      <c r="L8" s="67">
        <f t="shared" si="2"/>
        <v>42.958630755555561</v>
      </c>
      <c r="M8" s="67">
        <f t="shared" si="2"/>
        <v>42.958630755555561</v>
      </c>
    </row>
    <row r="9" spans="1:16" ht="14.25" customHeight="1">
      <c r="A9" s="66" t="s">
        <v>81</v>
      </c>
      <c r="B9" s="67">
        <f t="shared" ref="B9:M9" si="3">0.5*$E$28*$E$32*(0-MIN($E$40,0))/3600</f>
        <v>0</v>
      </c>
      <c r="C9" s="67">
        <f t="shared" si="3"/>
        <v>0</v>
      </c>
      <c r="D9" s="67">
        <f t="shared" si="3"/>
        <v>0</v>
      </c>
      <c r="E9" s="67">
        <f t="shared" si="3"/>
        <v>0</v>
      </c>
      <c r="F9" s="67">
        <f t="shared" si="3"/>
        <v>0</v>
      </c>
      <c r="G9" s="67">
        <f t="shared" si="3"/>
        <v>0</v>
      </c>
      <c r="H9" s="67">
        <f t="shared" si="3"/>
        <v>0</v>
      </c>
      <c r="I9" s="67">
        <f t="shared" si="3"/>
        <v>0</v>
      </c>
      <c r="J9" s="67">
        <f t="shared" si="3"/>
        <v>0</v>
      </c>
      <c r="K9" s="67">
        <f t="shared" si="3"/>
        <v>0</v>
      </c>
      <c r="L9" s="67">
        <f t="shared" si="3"/>
        <v>0</v>
      </c>
      <c r="M9" s="67">
        <f t="shared" si="3"/>
        <v>0</v>
      </c>
    </row>
    <row r="10" spans="1:16" ht="14.25" customHeight="1">
      <c r="A10" s="66" t="s">
        <v>82</v>
      </c>
      <c r="B10" s="67">
        <f t="shared" ref="B10:M10" si="4">B12/$E$33</f>
        <v>0.713200218560889</v>
      </c>
      <c r="C10" s="67">
        <f t="shared" si="4"/>
        <v>0.69838820671128909</v>
      </c>
      <c r="D10" s="67">
        <f t="shared" si="4"/>
        <v>0.70367821094328897</v>
      </c>
      <c r="E10" s="67">
        <f t="shared" si="4"/>
        <v>0.713200218560889</v>
      </c>
      <c r="F10" s="67">
        <f t="shared" si="4"/>
        <v>0.71531622025368902</v>
      </c>
      <c r="G10" s="67">
        <f t="shared" si="4"/>
        <v>0.713200218560889</v>
      </c>
      <c r="H10" s="67">
        <f t="shared" si="4"/>
        <v>0.713200218560889</v>
      </c>
      <c r="I10" s="67">
        <f t="shared" si="4"/>
        <v>0.71954822363928894</v>
      </c>
      <c r="J10" s="67">
        <f t="shared" si="4"/>
        <v>0.72483822787128904</v>
      </c>
      <c r="K10" s="67">
        <f t="shared" si="4"/>
        <v>0.733302234642489</v>
      </c>
      <c r="L10" s="67">
        <f t="shared" si="4"/>
        <v>0.72166422533208896</v>
      </c>
      <c r="M10" s="67">
        <f t="shared" si="4"/>
        <v>0.71108421686808898</v>
      </c>
    </row>
    <row r="11" spans="1:16" ht="29.25" customHeight="1">
      <c r="A11" s="70" t="s">
        <v>83</v>
      </c>
      <c r="B11" s="67">
        <f>$E$61*1.2*(B4-$E$40)*0.000277778*24</f>
        <v>5.8401646721279992</v>
      </c>
      <c r="C11" s="67">
        <f t="shared" ref="C11:M11" si="5">$E$61*1.2*(C4-$E$40)*0.000277778*24</f>
        <v>5.4846763877376006</v>
      </c>
      <c r="D11" s="67">
        <f t="shared" si="5"/>
        <v>5.6116364893055994</v>
      </c>
      <c r="E11" s="67">
        <f t="shared" si="5"/>
        <v>5.8401646721279992</v>
      </c>
      <c r="F11" s="67">
        <f t="shared" si="5"/>
        <v>5.8909487127551987</v>
      </c>
      <c r="G11" s="67">
        <f t="shared" si="5"/>
        <v>5.8401646721279992</v>
      </c>
      <c r="H11" s="67">
        <f t="shared" si="5"/>
        <v>5.8401646721279992</v>
      </c>
      <c r="I11" s="67">
        <f t="shared" si="5"/>
        <v>5.9925167940095996</v>
      </c>
      <c r="J11" s="67">
        <f t="shared" si="5"/>
        <v>6.1194768955775984</v>
      </c>
      <c r="K11" s="67">
        <f t="shared" si="5"/>
        <v>6.3226130580863993</v>
      </c>
      <c r="L11" s="67">
        <f t="shared" si="5"/>
        <v>6.0433008346367991</v>
      </c>
      <c r="M11" s="67">
        <f t="shared" si="5"/>
        <v>5.7893806315007996</v>
      </c>
    </row>
    <row r="12" spans="1:16" ht="14.25" customHeight="1">
      <c r="A12" s="66" t="s">
        <v>84</v>
      </c>
      <c r="B12" s="67">
        <f>IF($E$40&gt;0,B7,B7+B8+B9)*$E$34/30+B11</f>
        <v>17.116805245461336</v>
      </c>
      <c r="C12" s="67">
        <f t="shared" ref="C12:M12" si="6">IF($E$40&gt;0,C7,C7+C8+C9)*$E$34/30+C11</f>
        <v>16.761316961070939</v>
      </c>
      <c r="D12" s="67">
        <f t="shared" si="6"/>
        <v>16.888277062638934</v>
      </c>
      <c r="E12" s="67">
        <f t="shared" si="6"/>
        <v>17.116805245461336</v>
      </c>
      <c r="F12" s="67">
        <f t="shared" si="6"/>
        <v>17.167589286088536</v>
      </c>
      <c r="G12" s="67">
        <f t="shared" si="6"/>
        <v>17.116805245461336</v>
      </c>
      <c r="H12" s="67">
        <f t="shared" si="6"/>
        <v>17.116805245461336</v>
      </c>
      <c r="I12" s="67">
        <f t="shared" si="6"/>
        <v>17.269157367342935</v>
      </c>
      <c r="J12" s="67">
        <f t="shared" si="6"/>
        <v>17.396117468910937</v>
      </c>
      <c r="K12" s="67">
        <f t="shared" si="6"/>
        <v>17.599253631419735</v>
      </c>
      <c r="L12" s="67">
        <f t="shared" si="6"/>
        <v>17.319941407970134</v>
      </c>
      <c r="M12" s="67">
        <f t="shared" si="6"/>
        <v>17.066021204834136</v>
      </c>
      <c r="N12" s="68">
        <f t="shared" ref="N12:N13" si="7">MAX(B12:M12)</f>
        <v>17.599253631419735</v>
      </c>
    </row>
    <row r="13" spans="1:16" ht="14.25" customHeight="1">
      <c r="A13" s="66" t="s">
        <v>85</v>
      </c>
      <c r="B13" s="67">
        <f>(B6+B12)</f>
        <v>31.641029245461333</v>
      </c>
      <c r="C13" s="67">
        <f t="shared" ref="C13:M13" si="8">(C6+C12)</f>
        <v>30.40145776107094</v>
      </c>
      <c r="D13" s="67">
        <f t="shared" si="8"/>
        <v>30.844161862638934</v>
      </c>
      <c r="E13" s="67">
        <f t="shared" si="8"/>
        <v>31.641029245461333</v>
      </c>
      <c r="F13" s="67">
        <f t="shared" si="8"/>
        <v>31.818110886088533</v>
      </c>
      <c r="G13" s="67">
        <f t="shared" si="8"/>
        <v>31.641029245461333</v>
      </c>
      <c r="H13" s="67">
        <f t="shared" si="8"/>
        <v>31.641029245461333</v>
      </c>
      <c r="I13" s="67">
        <f t="shared" si="8"/>
        <v>32.172274167342934</v>
      </c>
      <c r="J13" s="67">
        <f t="shared" si="8"/>
        <v>32.614978268910932</v>
      </c>
      <c r="K13" s="67">
        <f t="shared" si="8"/>
        <v>33.323304831419733</v>
      </c>
      <c r="L13" s="67">
        <f t="shared" si="8"/>
        <v>32.349355807970134</v>
      </c>
      <c r="M13" s="67">
        <f t="shared" si="8"/>
        <v>31.463947604834139</v>
      </c>
      <c r="N13" s="71">
        <f t="shared" si="7"/>
        <v>33.323304831419733</v>
      </c>
      <c r="O13" s="224"/>
      <c r="P13" s="213"/>
    </row>
    <row r="14" spans="1:16" ht="14.25" hidden="1" customHeight="1">
      <c r="A14" s="66" t="s">
        <v>86</v>
      </c>
      <c r="B14" s="69">
        <f t="shared" ref="B14:M14" si="9">$E$48*(1/((B4+7+273.15)/((MIN(-5,$E$47))+273.15)-1))</f>
        <v>1.9939358974358972</v>
      </c>
      <c r="C14" s="69">
        <f t="shared" si="9"/>
        <v>2.0681781914893613</v>
      </c>
      <c r="D14" s="69">
        <f t="shared" si="9"/>
        <v>2.041036745406823</v>
      </c>
      <c r="E14" s="69">
        <f t="shared" si="9"/>
        <v>1.9939358974358972</v>
      </c>
      <c r="F14" s="69">
        <f t="shared" si="9"/>
        <v>1.9837627551020414</v>
      </c>
      <c r="G14" s="69">
        <f t="shared" si="9"/>
        <v>1.9939358974358972</v>
      </c>
      <c r="H14" s="69">
        <f t="shared" si="9"/>
        <v>1.9939358974358972</v>
      </c>
      <c r="I14" s="69">
        <f t="shared" si="9"/>
        <v>1.9637247474747468</v>
      </c>
      <c r="J14" s="69">
        <f t="shared" si="9"/>
        <v>1.939239401496258</v>
      </c>
      <c r="K14" s="69">
        <f t="shared" si="9"/>
        <v>1.9013080684596595</v>
      </c>
      <c r="L14" s="69">
        <f t="shared" si="9"/>
        <v>1.9538567839195982</v>
      </c>
      <c r="M14" s="69">
        <f t="shared" si="9"/>
        <v>2.0042139175257718</v>
      </c>
      <c r="N14" s="68">
        <f t="shared" ref="N14:N15" si="10">MIN(B14:M14)</f>
        <v>1.9013080684596595</v>
      </c>
    </row>
    <row r="15" spans="1:16" ht="14.25" customHeight="1">
      <c r="A15" s="66" t="s">
        <v>87</v>
      </c>
      <c r="B15" s="69">
        <f>MIN($E$48*(1/((B4+8+273.15)/(($E$47-8)+273.15)-1)),3)</f>
        <v>2.0013717948717935</v>
      </c>
      <c r="C15" s="69">
        <f t="shared" ref="C15:M15" si="11">MIN($E$48*(1/((C4+8+273.15)/(($E$47-8)+273.15)-1)),3)</f>
        <v>2.0758909574468052</v>
      </c>
      <c r="D15" s="69">
        <f t="shared" si="11"/>
        <v>2.0486482939632538</v>
      </c>
      <c r="E15" s="69">
        <f t="shared" si="11"/>
        <v>2.0013717948717935</v>
      </c>
      <c r="F15" s="69">
        <f t="shared" si="11"/>
        <v>1.9911607142857144</v>
      </c>
      <c r="G15" s="69">
        <f t="shared" si="11"/>
        <v>2.0013717948717935</v>
      </c>
      <c r="H15" s="69">
        <f t="shared" si="11"/>
        <v>2.0013717948717935</v>
      </c>
      <c r="I15" s="69">
        <f t="shared" si="11"/>
        <v>1.9710479797979781</v>
      </c>
      <c r="J15" s="69">
        <f t="shared" si="11"/>
        <v>1.9464713216957603</v>
      </c>
      <c r="K15" s="69">
        <f t="shared" si="11"/>
        <v>1.9083985330073361</v>
      </c>
      <c r="L15" s="69">
        <f t="shared" si="11"/>
        <v>1.9611432160804021</v>
      </c>
      <c r="M15" s="69">
        <f t="shared" si="11"/>
        <v>2.0116881443298964</v>
      </c>
      <c r="N15" s="71">
        <f t="shared" si="10"/>
        <v>1.9083985330073361</v>
      </c>
    </row>
    <row r="16" spans="1:16" ht="14.25" customHeight="1">
      <c r="A16" s="66" t="s">
        <v>88</v>
      </c>
      <c r="B16" s="69">
        <f t="shared" ref="B16:M16" si="12">0</f>
        <v>0</v>
      </c>
      <c r="C16" s="69">
        <f t="shared" si="12"/>
        <v>0</v>
      </c>
      <c r="D16" s="69">
        <f t="shared" si="12"/>
        <v>0</v>
      </c>
      <c r="E16" s="69">
        <f t="shared" si="12"/>
        <v>0</v>
      </c>
      <c r="F16" s="69">
        <f t="shared" si="12"/>
        <v>0</v>
      </c>
      <c r="G16" s="69">
        <f t="shared" si="12"/>
        <v>0</v>
      </c>
      <c r="H16" s="69">
        <f t="shared" si="12"/>
        <v>0</v>
      </c>
      <c r="I16" s="69">
        <f t="shared" si="12"/>
        <v>0</v>
      </c>
      <c r="J16" s="69">
        <f t="shared" si="12"/>
        <v>0</v>
      </c>
      <c r="K16" s="69">
        <f t="shared" si="12"/>
        <v>0</v>
      </c>
      <c r="L16" s="69">
        <f t="shared" si="12"/>
        <v>0</v>
      </c>
      <c r="M16" s="69">
        <f t="shared" si="12"/>
        <v>0</v>
      </c>
      <c r="N16" s="68">
        <f t="shared" ref="N16:N17" si="13">MAX(B16:M16)</f>
        <v>0</v>
      </c>
      <c r="O16" s="224" t="s">
        <v>89</v>
      </c>
      <c r="P16" s="213"/>
    </row>
    <row r="17" spans="1:21" ht="14.25" customHeight="1">
      <c r="A17" s="66" t="s">
        <v>90</v>
      </c>
      <c r="B17" s="67">
        <f>1.15*B13/B15</f>
        <v>18.181121431568627</v>
      </c>
      <c r="C17" s="67">
        <f t="shared" ref="C17:M17" si="14">1.15*C13/C15</f>
        <v>16.841769217122994</v>
      </c>
      <c r="D17" s="67">
        <f t="shared" si="14"/>
        <v>17.31423897725951</v>
      </c>
      <c r="E17" s="67">
        <f t="shared" si="14"/>
        <v>18.181121431568627</v>
      </c>
      <c r="F17" s="67">
        <f t="shared" si="14"/>
        <v>18.376631909457885</v>
      </c>
      <c r="G17" s="67">
        <f t="shared" si="14"/>
        <v>18.181121431568627</v>
      </c>
      <c r="H17" s="67">
        <f t="shared" si="14"/>
        <v>18.181121431568627</v>
      </c>
      <c r="I17" s="67">
        <f t="shared" si="14"/>
        <v>18.770783700677079</v>
      </c>
      <c r="J17" s="67">
        <f t="shared" si="14"/>
        <v>19.269343756152225</v>
      </c>
      <c r="K17" s="67">
        <f t="shared" si="14"/>
        <v>20.080606798488553</v>
      </c>
      <c r="L17" s="67">
        <f t="shared" si="14"/>
        <v>18.969425014006966</v>
      </c>
      <c r="M17" s="67">
        <f t="shared" si="14"/>
        <v>17.986654565492895</v>
      </c>
      <c r="N17" s="68">
        <f t="shared" si="13"/>
        <v>20.080606798488553</v>
      </c>
      <c r="O17" s="72"/>
      <c r="P17" s="72" t="s">
        <v>91</v>
      </c>
    </row>
    <row r="18" spans="1:21" ht="14.25" customHeight="1">
      <c r="A18" s="62" t="s">
        <v>92</v>
      </c>
      <c r="B18" s="73">
        <f>1000*B16/(75*8)</f>
        <v>0</v>
      </c>
      <c r="C18" s="73">
        <f t="shared" ref="C18:M18" si="15">1000*C16/(75*8)</f>
        <v>0</v>
      </c>
      <c r="D18" s="73">
        <f t="shared" si="15"/>
        <v>0</v>
      </c>
      <c r="E18" s="73">
        <f t="shared" si="15"/>
        <v>0</v>
      </c>
      <c r="F18" s="73">
        <f t="shared" si="15"/>
        <v>0</v>
      </c>
      <c r="G18" s="73">
        <f t="shared" si="15"/>
        <v>0</v>
      </c>
      <c r="H18" s="73">
        <f t="shared" si="15"/>
        <v>0</v>
      </c>
      <c r="I18" s="73">
        <f t="shared" si="15"/>
        <v>0</v>
      </c>
      <c r="J18" s="73">
        <f t="shared" si="15"/>
        <v>0</v>
      </c>
      <c r="K18" s="73">
        <f t="shared" si="15"/>
        <v>0</v>
      </c>
      <c r="L18" s="73">
        <f t="shared" si="15"/>
        <v>0</v>
      </c>
      <c r="M18" s="73">
        <f t="shared" si="15"/>
        <v>0</v>
      </c>
      <c r="O18" s="74">
        <f t="shared" ref="O18:O23" si="16">MAX(B18:M18)</f>
        <v>0</v>
      </c>
      <c r="P18" s="74">
        <f>MAX(1,IF( O18-ROUNDDOWN(O18,0)&lt;0.2,  ROUNDDOWN(O18,0),      ROUNDUP(O18,0)        ))</f>
        <v>1</v>
      </c>
    </row>
    <row r="19" spans="1:21" ht="14.25" customHeight="1">
      <c r="A19" s="62" t="s">
        <v>93</v>
      </c>
      <c r="B19" s="73">
        <f t="shared" ref="B19:M19" si="17">(1+$E$68/100+0.3)*1.2*1000*B16/B5</f>
        <v>0</v>
      </c>
      <c r="C19" s="73">
        <f t="shared" si="17"/>
        <v>0</v>
      </c>
      <c r="D19" s="73">
        <f t="shared" si="17"/>
        <v>0</v>
      </c>
      <c r="E19" s="73">
        <f t="shared" si="17"/>
        <v>0</v>
      </c>
      <c r="F19" s="73">
        <f t="shared" si="17"/>
        <v>0</v>
      </c>
      <c r="G19" s="73">
        <f t="shared" si="17"/>
        <v>0</v>
      </c>
      <c r="H19" s="73">
        <f t="shared" si="17"/>
        <v>0</v>
      </c>
      <c r="I19" s="73">
        <f t="shared" si="17"/>
        <v>0</v>
      </c>
      <c r="J19" s="73">
        <f t="shared" si="17"/>
        <v>0</v>
      </c>
      <c r="K19" s="73">
        <f t="shared" si="17"/>
        <v>0</v>
      </c>
      <c r="L19" s="73">
        <f t="shared" si="17"/>
        <v>0</v>
      </c>
      <c r="M19" s="73">
        <f t="shared" si="17"/>
        <v>0</v>
      </c>
      <c r="O19" s="74">
        <f t="shared" si="16"/>
        <v>0</v>
      </c>
      <c r="P19" s="75">
        <f>ROUND(O19,0)</f>
        <v>0</v>
      </c>
    </row>
    <row r="20" spans="1:21" ht="14.25" customHeight="1">
      <c r="A20" s="62" t="s">
        <v>94</v>
      </c>
      <c r="B20" s="73">
        <f t="shared" ref="B20:M20" si="18">1000*B17/($E$43*20)</f>
        <v>0.90905607157843138</v>
      </c>
      <c r="C20" s="73">
        <f t="shared" si="18"/>
        <v>0.84208846085614963</v>
      </c>
      <c r="D20" s="73">
        <f t="shared" si="18"/>
        <v>0.86571194886297542</v>
      </c>
      <c r="E20" s="73">
        <f t="shared" si="18"/>
        <v>0.90905607157843138</v>
      </c>
      <c r="F20" s="73">
        <f t="shared" si="18"/>
        <v>0.91883159547289417</v>
      </c>
      <c r="G20" s="73">
        <f t="shared" si="18"/>
        <v>0.90905607157843138</v>
      </c>
      <c r="H20" s="73">
        <f t="shared" si="18"/>
        <v>0.90905607157843138</v>
      </c>
      <c r="I20" s="73">
        <f t="shared" si="18"/>
        <v>0.93853918503385392</v>
      </c>
      <c r="J20" s="73">
        <f t="shared" si="18"/>
        <v>0.96346718780761131</v>
      </c>
      <c r="K20" s="73">
        <f t="shared" si="18"/>
        <v>1.0040303399244277</v>
      </c>
      <c r="L20" s="73">
        <f t="shared" si="18"/>
        <v>0.94847125070034832</v>
      </c>
      <c r="M20" s="73">
        <f t="shared" si="18"/>
        <v>0.89933272827464483</v>
      </c>
      <c r="O20" s="74">
        <f t="shared" si="16"/>
        <v>1.0040303399244277</v>
      </c>
      <c r="P20" s="74">
        <f>MAX(1,IF( O20-ROUNDDOWN(O20,0)&lt;0.2,  ROUNDDOWN(O20,0),      ROUNDUP(O20,0)        ))</f>
        <v>1</v>
      </c>
    </row>
    <row r="21" spans="1:21" ht="14.25" customHeight="1">
      <c r="A21" s="62" t="s">
        <v>95</v>
      </c>
      <c r="B21" s="73">
        <f>(1+$E$68/100+1.2)*1000*B17/B5</f>
        <v>9141.110636354013</v>
      </c>
      <c r="C21" s="73">
        <f t="shared" ref="C21:M21" si="19">(1+$E$68/100+1.2)*1000*C17/C5</f>
        <v>7806.3876236124152</v>
      </c>
      <c r="D21" s="73">
        <f t="shared" si="19"/>
        <v>8092.4089250637526</v>
      </c>
      <c r="E21" s="73">
        <f t="shared" si="19"/>
        <v>7937.7037435122902</v>
      </c>
      <c r="F21" s="73">
        <f t="shared" si="19"/>
        <v>8889.8419969638617</v>
      </c>
      <c r="G21" s="73">
        <f t="shared" si="19"/>
        <v>8926.6027068823932</v>
      </c>
      <c r="H21" s="73">
        <f t="shared" si="19"/>
        <v>8729.6508580581431</v>
      </c>
      <c r="I21" s="73">
        <f t="shared" si="19"/>
        <v>7807.8811658164423</v>
      </c>
      <c r="J21" s="73">
        <f t="shared" si="19"/>
        <v>7210.1856441337286</v>
      </c>
      <c r="K21" s="73">
        <f t="shared" si="19"/>
        <v>7449.0675312357407</v>
      </c>
      <c r="L21" s="73">
        <f t="shared" si="19"/>
        <v>8012.9467731581153</v>
      </c>
      <c r="M21" s="73">
        <f t="shared" si="19"/>
        <v>7750.4051642413788</v>
      </c>
      <c r="O21" s="74">
        <f t="shared" si="16"/>
        <v>9141.110636354013</v>
      </c>
      <c r="P21" s="75">
        <f t="shared" ref="P21:P23" si="20">ROUND(O21,0)</f>
        <v>9141</v>
      </c>
      <c r="Q21" s="76" t="s">
        <v>96</v>
      </c>
      <c r="R21" s="76" t="s">
        <v>97</v>
      </c>
      <c r="S21" s="76" t="s">
        <v>98</v>
      </c>
      <c r="T21" s="76" t="s">
        <v>99</v>
      </c>
      <c r="U21" s="76" t="s">
        <v>100</v>
      </c>
    </row>
    <row r="22" spans="1:21" ht="14.25" customHeight="1">
      <c r="A22" s="62" t="s">
        <v>101</v>
      </c>
      <c r="B22" s="73">
        <f>2*MAX($E$67+0.5,0.5)*(1)*1000*B17/12</f>
        <v>4545.2803578921566</v>
      </c>
      <c r="C22" s="73">
        <f t="shared" ref="C22:M22" si="21">2*MAX($E$67+0.5,0.5)*(1)*1000*C17/12</f>
        <v>4210.4423042807484</v>
      </c>
      <c r="D22" s="73">
        <f t="shared" si="21"/>
        <v>4328.5597443148772</v>
      </c>
      <c r="E22" s="73">
        <f t="shared" si="21"/>
        <v>4545.2803578921566</v>
      </c>
      <c r="F22" s="73">
        <f t="shared" si="21"/>
        <v>4594.1579773644708</v>
      </c>
      <c r="G22" s="73">
        <f t="shared" si="21"/>
        <v>4545.2803578921566</v>
      </c>
      <c r="H22" s="73">
        <f t="shared" si="21"/>
        <v>4545.2803578921566</v>
      </c>
      <c r="I22" s="73">
        <f t="shared" si="21"/>
        <v>4692.6959251692697</v>
      </c>
      <c r="J22" s="73">
        <f t="shared" si="21"/>
        <v>4817.3359390380565</v>
      </c>
      <c r="K22" s="73">
        <f t="shared" si="21"/>
        <v>5020.151699622138</v>
      </c>
      <c r="L22" s="73">
        <f t="shared" si="21"/>
        <v>4742.3562535017418</v>
      </c>
      <c r="M22" s="73">
        <f t="shared" si="21"/>
        <v>4496.663641373224</v>
      </c>
      <c r="O22" s="74">
        <f t="shared" si="16"/>
        <v>5020.151699622138</v>
      </c>
      <c r="P22" s="75">
        <f t="shared" si="20"/>
        <v>5020</v>
      </c>
      <c r="Q22" s="32">
        <f>(P22*12)/2</f>
        <v>30120</v>
      </c>
      <c r="R22" s="32">
        <f>ROUNDDOWN(Q22/5000,0)</f>
        <v>6</v>
      </c>
      <c r="S22" s="32">
        <f>P21/50</f>
        <v>182.82</v>
      </c>
      <c r="T22" s="32">
        <f>P20*E43</f>
        <v>1000</v>
      </c>
      <c r="U22" s="32">
        <f>IF(T22&lt;5000,1,2)</f>
        <v>1</v>
      </c>
    </row>
    <row r="23" spans="1:21" ht="14.25" customHeight="1">
      <c r="A23" s="62" t="s">
        <v>102</v>
      </c>
      <c r="B23" s="73">
        <f t="shared" ref="B23:M23" si="22">MAX($E$67,1)*(1+$E$68/100+0.1)*1000*B18/12/2</f>
        <v>0</v>
      </c>
      <c r="C23" s="73">
        <f t="shared" si="22"/>
        <v>0</v>
      </c>
      <c r="D23" s="73">
        <f t="shared" si="22"/>
        <v>0</v>
      </c>
      <c r="E23" s="73">
        <f t="shared" si="22"/>
        <v>0</v>
      </c>
      <c r="F23" s="73">
        <f t="shared" si="22"/>
        <v>0</v>
      </c>
      <c r="G23" s="73">
        <f t="shared" si="22"/>
        <v>0</v>
      </c>
      <c r="H23" s="73">
        <f t="shared" si="22"/>
        <v>0</v>
      </c>
      <c r="I23" s="73">
        <f t="shared" si="22"/>
        <v>0</v>
      </c>
      <c r="J23" s="73">
        <f t="shared" si="22"/>
        <v>0</v>
      </c>
      <c r="K23" s="73">
        <f t="shared" si="22"/>
        <v>0</v>
      </c>
      <c r="L23" s="73">
        <f t="shared" si="22"/>
        <v>0</v>
      </c>
      <c r="M23" s="73">
        <f t="shared" si="22"/>
        <v>0</v>
      </c>
      <c r="O23" s="74">
        <f t="shared" si="16"/>
        <v>0</v>
      </c>
      <c r="P23" s="75">
        <f t="shared" si="20"/>
        <v>0</v>
      </c>
    </row>
    <row r="24" spans="1:21" ht="14.25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Q24" s="76" t="s">
        <v>103</v>
      </c>
    </row>
    <row r="25" spans="1:21" ht="14.25" customHeight="1">
      <c r="Q25" s="32">
        <f>N13*1000/(N15*T22)</f>
        <v>17.461397216077003</v>
      </c>
    </row>
    <row r="26" spans="1:21" ht="14.25" customHeight="1">
      <c r="A26" s="62" t="s">
        <v>104</v>
      </c>
      <c r="B26" s="44"/>
      <c r="C26" s="44"/>
      <c r="D26" s="44"/>
      <c r="E26" s="44"/>
      <c r="F26" s="44"/>
      <c r="N26" s="31"/>
    </row>
    <row r="27" spans="1:21" ht="14.25" customHeight="1">
      <c r="A27" s="44"/>
      <c r="B27" s="44"/>
      <c r="C27" s="44"/>
      <c r="D27" s="44"/>
      <c r="E27" s="44"/>
      <c r="F27" s="44"/>
      <c r="S27" s="77"/>
    </row>
    <row r="28" spans="1:21" ht="14.25" customHeight="1">
      <c r="A28" s="44" t="str">
        <f>'2 Input'!C5</f>
        <v>Total mass to be cooled</v>
      </c>
      <c r="B28" s="44"/>
      <c r="C28" s="44"/>
      <c r="D28" s="78" t="s">
        <v>105</v>
      </c>
      <c r="E28" s="28">
        <f>'2 Input'!G5</f>
        <v>500</v>
      </c>
      <c r="F28" s="44" t="s">
        <v>106</v>
      </c>
      <c r="R28" s="79"/>
      <c r="S28" s="77"/>
    </row>
    <row r="29" spans="1:21" ht="14.25" customHeight="1">
      <c r="A29" s="44" t="str">
        <f>'2 Input'!C6</f>
        <v>Moisture content of the product</v>
      </c>
      <c r="B29" s="44"/>
      <c r="C29" s="44"/>
      <c r="D29" s="78" t="s">
        <v>107</v>
      </c>
      <c r="E29" s="28">
        <f>'2 Input'!G6</f>
        <v>86</v>
      </c>
      <c r="F29" s="44" t="s">
        <v>44</v>
      </c>
    </row>
    <row r="30" spans="1:21" ht="14.25" customHeight="1">
      <c r="A30" s="44" t="str">
        <f>'2 Input'!C7</f>
        <v xml:space="preserve"> or Heat capacity of the product</v>
      </c>
      <c r="B30" s="44"/>
      <c r="C30" s="44"/>
      <c r="D30" s="78" t="s">
        <v>108</v>
      </c>
      <c r="E30" s="28">
        <f>'2 Input'!G7</f>
        <v>0</v>
      </c>
      <c r="F30" s="44" t="s">
        <v>109</v>
      </c>
      <c r="O30" s="80"/>
      <c r="P30" s="68"/>
    </row>
    <row r="31" spans="1:21" ht="14.25" customHeight="1">
      <c r="A31" s="44" t="s">
        <v>110</v>
      </c>
      <c r="B31" s="44"/>
      <c r="C31" s="44"/>
      <c r="D31" s="78" t="s">
        <v>108</v>
      </c>
      <c r="E31" s="81">
        <f>4.19-2.3*((100-E29)/100)-0.628*((100-E29)/100)^3</f>
        <v>3.8662767680000005</v>
      </c>
      <c r="F31" s="44" t="s">
        <v>109</v>
      </c>
    </row>
    <row r="32" spans="1:21" ht="14.25" customHeight="1">
      <c r="A32" s="44" t="s">
        <v>111</v>
      </c>
      <c r="B32" s="44"/>
      <c r="C32" s="44"/>
      <c r="D32" s="78" t="s">
        <v>108</v>
      </c>
      <c r="E32" s="81">
        <f>IF(E30&gt;0,E30,E31)</f>
        <v>3.8662767680000005</v>
      </c>
      <c r="F32" s="44" t="s">
        <v>109</v>
      </c>
    </row>
    <row r="33" spans="1:16" ht="14.25" customHeight="1">
      <c r="A33" s="44"/>
      <c r="B33" s="44"/>
      <c r="C33" s="44"/>
      <c r="D33" s="78" t="s">
        <v>112</v>
      </c>
      <c r="E33" s="82">
        <v>24</v>
      </c>
      <c r="F33" s="44" t="s">
        <v>113</v>
      </c>
    </row>
    <row r="34" spans="1:16" ht="14.25" customHeight="1">
      <c r="A34" s="44" t="s">
        <v>114</v>
      </c>
      <c r="B34" s="44"/>
      <c r="C34" s="44"/>
      <c r="D34" s="44"/>
      <c r="E34" s="83">
        <v>30</v>
      </c>
      <c r="F34" s="44"/>
      <c r="O34" s="80"/>
    </row>
    <row r="35" spans="1:16" ht="14.25" customHeight="1">
      <c r="D35" s="80"/>
      <c r="E35" s="74"/>
    </row>
    <row r="36" spans="1:16" ht="14.25" customHeight="1">
      <c r="E36" s="72"/>
    </row>
    <row r="37" spans="1:16" ht="14.25" customHeight="1">
      <c r="A37" s="62" t="s">
        <v>19</v>
      </c>
      <c r="B37" s="44"/>
      <c r="C37" s="44"/>
      <c r="D37" s="78"/>
      <c r="E37" s="84"/>
      <c r="F37" s="44"/>
      <c r="O37" s="80"/>
      <c r="P37" s="68"/>
    </row>
    <row r="38" spans="1:16" ht="14.25" customHeight="1">
      <c r="A38" s="44"/>
      <c r="B38" s="44"/>
      <c r="C38" s="44"/>
      <c r="D38" s="78"/>
      <c r="E38" s="84"/>
      <c r="F38" s="44"/>
    </row>
    <row r="39" spans="1:16" ht="14.25" customHeight="1">
      <c r="A39" s="44" t="str">
        <f>'2 Input'!J13</f>
        <v>Initial temperature of the product</v>
      </c>
      <c r="B39" s="44"/>
      <c r="C39" s="44"/>
      <c r="D39" s="78" t="s">
        <v>115</v>
      </c>
      <c r="E39" s="28">
        <f>'2 Input'!N13</f>
        <v>25</v>
      </c>
      <c r="F39" s="44" t="s">
        <v>21</v>
      </c>
    </row>
    <row r="40" spans="1:16" ht="14.25" customHeight="1">
      <c r="A40" s="44" t="str">
        <f>'2 Input'!J14</f>
        <v>Cold/Freezing Room Set Point</v>
      </c>
      <c r="B40" s="44"/>
      <c r="C40" s="44"/>
      <c r="D40" s="78" t="s">
        <v>116</v>
      </c>
      <c r="E40" s="28">
        <f>'2 Input'!N14</f>
        <v>4</v>
      </c>
      <c r="F40" s="44" t="s">
        <v>21</v>
      </c>
    </row>
    <row r="41" spans="1:16" ht="14.25" customHeight="1">
      <c r="A41" s="31" t="s">
        <v>117</v>
      </c>
      <c r="E41" s="72"/>
      <c r="N41" s="31"/>
    </row>
    <row r="42" spans="1:16" ht="14.25" customHeight="1">
      <c r="A42" s="32" t="s">
        <v>51</v>
      </c>
      <c r="E42" s="72">
        <f>E43*N15</f>
        <v>1908.398533007336</v>
      </c>
      <c r="N42" s="31"/>
    </row>
    <row r="43" spans="1:16" ht="14.25" customHeight="1">
      <c r="A43" s="32" t="s">
        <v>45</v>
      </c>
      <c r="E43" s="72">
        <f>'2 Input'!N17</f>
        <v>1000</v>
      </c>
      <c r="N43" s="31"/>
    </row>
    <row r="44" spans="1:16" ht="14.25" customHeight="1">
      <c r="A44" s="32" t="s">
        <v>118</v>
      </c>
      <c r="E44" s="74">
        <f>P20</f>
        <v>1</v>
      </c>
      <c r="N44" s="31"/>
    </row>
    <row r="45" spans="1:16" ht="14.25" customHeight="1">
      <c r="E45" s="72"/>
      <c r="N45" s="31"/>
    </row>
    <row r="46" spans="1:16" ht="14.25" customHeight="1">
      <c r="A46" s="44" t="s">
        <v>119</v>
      </c>
      <c r="B46" s="44"/>
      <c r="C46" s="44"/>
      <c r="D46" s="78" t="s">
        <v>120</v>
      </c>
      <c r="E46" s="85">
        <f>MAX(B4:M4)</f>
        <v>28.9</v>
      </c>
      <c r="F46" s="44" t="s">
        <v>21</v>
      </c>
    </row>
    <row r="47" spans="1:16" ht="14.25" customHeight="1">
      <c r="A47" s="44" t="s">
        <v>121</v>
      </c>
      <c r="B47" s="44"/>
      <c r="C47" s="44"/>
      <c r="D47" s="78" t="s">
        <v>122</v>
      </c>
      <c r="E47" s="28">
        <f>E40</f>
        <v>4</v>
      </c>
      <c r="F47" s="44" t="s">
        <v>21</v>
      </c>
    </row>
    <row r="48" spans="1:16" ht="14.25" customHeight="1">
      <c r="A48" s="44" t="s">
        <v>123</v>
      </c>
      <c r="B48" s="44"/>
      <c r="C48" s="44"/>
      <c r="D48" s="44"/>
      <c r="E48" s="28">
        <v>0.28999999999999998</v>
      </c>
      <c r="F48" s="44"/>
      <c r="O48" s="80"/>
      <c r="P48" s="68"/>
    </row>
    <row r="49" spans="1:17" ht="14.25" customHeight="1">
      <c r="D49" s="80" t="s">
        <v>124</v>
      </c>
      <c r="E49" s="81">
        <f>$E$48*(1/((E46+273.15)/($E$47+273.15)-1))</f>
        <v>3.2278514056224932</v>
      </c>
    </row>
    <row r="50" spans="1:17" ht="14.25" customHeight="1">
      <c r="E50" s="72"/>
    </row>
    <row r="51" spans="1:17" ht="14.25" customHeight="1">
      <c r="E51" s="72"/>
    </row>
    <row r="52" spans="1:17" ht="14.25" customHeight="1">
      <c r="A52" s="62" t="s">
        <v>125</v>
      </c>
      <c r="B52" s="44"/>
      <c r="C52" s="44"/>
      <c r="D52" s="78"/>
      <c r="E52" s="84"/>
      <c r="F52" s="44"/>
    </row>
    <row r="53" spans="1:17" ht="14.25" customHeight="1">
      <c r="A53" s="44"/>
      <c r="B53" s="44"/>
      <c r="C53" s="44"/>
      <c r="D53" s="78"/>
      <c r="E53" s="84"/>
      <c r="F53" s="44"/>
    </row>
    <row r="54" spans="1:17" ht="14.25" customHeight="1">
      <c r="A54" s="44" t="s">
        <v>126</v>
      </c>
      <c r="B54" s="44"/>
      <c r="C54" s="44"/>
      <c r="D54" s="78" t="s">
        <v>30</v>
      </c>
      <c r="E54" s="28">
        <f>'2 Input'!G26</f>
        <v>2.2999999999999998</v>
      </c>
      <c r="F54" s="44" t="s">
        <v>14</v>
      </c>
    </row>
    <row r="55" spans="1:17" ht="14.25" customHeight="1">
      <c r="A55" s="44" t="s">
        <v>127</v>
      </c>
      <c r="B55" s="44"/>
      <c r="C55" s="44"/>
      <c r="D55" s="78" t="s">
        <v>32</v>
      </c>
      <c r="E55" s="28">
        <f>'2 Input'!G27</f>
        <v>6</v>
      </c>
      <c r="F55" s="44" t="s">
        <v>14</v>
      </c>
    </row>
    <row r="56" spans="1:17" ht="14.25" customHeight="1">
      <c r="A56" s="44" t="s">
        <v>128</v>
      </c>
      <c r="B56" s="44"/>
      <c r="C56" s="44"/>
      <c r="D56" s="78" t="s">
        <v>34</v>
      </c>
      <c r="E56" s="28">
        <f>'2 Input'!G28</f>
        <v>2.2999999999999998</v>
      </c>
      <c r="F56" s="44" t="s">
        <v>14</v>
      </c>
    </row>
    <row r="57" spans="1:17" ht="14.25" customHeight="1">
      <c r="A57" s="44" t="s">
        <v>129</v>
      </c>
      <c r="B57" s="44"/>
      <c r="C57" s="44"/>
      <c r="D57" s="78" t="s">
        <v>130</v>
      </c>
      <c r="E57" s="28">
        <f>2*(E54*E55+E55*E56+E54*E56)</f>
        <v>65.78</v>
      </c>
      <c r="F57" s="44" t="s">
        <v>131</v>
      </c>
    </row>
    <row r="58" spans="1:17" ht="14.25" customHeight="1">
      <c r="A58" s="44" t="str">
        <f>'2 Input'!C29</f>
        <v>Thermal Conductivity of Insulation W m−1 K−1</v>
      </c>
      <c r="B58" s="44"/>
      <c r="C58" s="44"/>
      <c r="D58" s="78" t="s">
        <v>132</v>
      </c>
      <c r="E58" s="28">
        <f>'2 Input'!G29</f>
        <v>0.04</v>
      </c>
      <c r="F58" s="44" t="s">
        <v>37</v>
      </c>
    </row>
    <row r="59" spans="1:17" ht="14.25" customHeight="1">
      <c r="A59" s="44" t="str">
        <f>'2 Input'!C30</f>
        <v>Thickness of Insulation (m)</v>
      </c>
      <c r="B59" s="44"/>
      <c r="C59" s="44"/>
      <c r="D59" s="78" t="s">
        <v>39</v>
      </c>
      <c r="E59" s="28">
        <f>'2 Input'!G30</f>
        <v>0.1</v>
      </c>
      <c r="F59" s="44" t="s">
        <v>14</v>
      </c>
    </row>
    <row r="60" spans="1:17" ht="14.25" customHeight="1">
      <c r="D60" s="80" t="s">
        <v>133</v>
      </c>
      <c r="E60" s="28">
        <f>E58/E59</f>
        <v>0.39999999999999997</v>
      </c>
    </row>
    <row r="61" spans="1:17" ht="14.25" customHeight="1">
      <c r="A61" s="44" t="s">
        <v>134</v>
      </c>
      <c r="B61" s="44"/>
      <c r="C61" s="44"/>
      <c r="D61" s="78" t="s">
        <v>135</v>
      </c>
      <c r="E61" s="86">
        <f>'2 Input'!G25</f>
        <v>31.739999999999995</v>
      </c>
      <c r="F61" s="32" t="s">
        <v>136</v>
      </c>
      <c r="O61" s="32" t="s">
        <v>137</v>
      </c>
    </row>
    <row r="62" spans="1:17" ht="14.25" customHeight="1">
      <c r="E62" s="72"/>
      <c r="P62" s="32" t="s">
        <v>42</v>
      </c>
      <c r="Q62" s="32">
        <f>IF(H89="Yes",1,0)</f>
        <v>1</v>
      </c>
    </row>
    <row r="63" spans="1:17" ht="14.25" customHeight="1">
      <c r="E63" s="72"/>
      <c r="P63" s="32" t="s">
        <v>40</v>
      </c>
      <c r="Q63" s="32">
        <f>1-Q62</f>
        <v>0</v>
      </c>
    </row>
    <row r="64" spans="1:17" ht="14.25" customHeight="1">
      <c r="A64" s="62" t="s">
        <v>138</v>
      </c>
      <c r="B64" s="44"/>
      <c r="C64" s="44"/>
      <c r="D64" s="78"/>
      <c r="E64" s="84"/>
      <c r="F64" s="44"/>
    </row>
    <row r="65" spans="1:22" ht="14.25" customHeight="1">
      <c r="A65" s="44" t="str">
        <f>'2 Input'!C31</f>
        <v>Ice storage inside the cold room?</v>
      </c>
      <c r="B65" s="44"/>
      <c r="C65" s="44"/>
      <c r="D65" s="78"/>
      <c r="E65" s="28" t="str">
        <f>IF(OR('2 Input'!G31=Translation!E86,'2 Input'!G31=Translation!F86,'2 Input'!G31=Translation!G86,'2 Input'!G31=Translation!H86),"Yes","No")</f>
        <v>No</v>
      </c>
      <c r="F65" s="44"/>
      <c r="G65" s="32">
        <f>IF(E65="Yes",0,1)</f>
        <v>1</v>
      </c>
    </row>
    <row r="66" spans="1:22" ht="14.25" customHeight="1">
      <c r="A66" s="44" t="s">
        <v>139</v>
      </c>
      <c r="B66" s="44"/>
      <c r="C66" s="44"/>
      <c r="D66" s="78"/>
      <c r="E66" s="28" t="str">
        <f>IF(OR('2 Input'!P34=Translation!E86,'2 Input'!P34=Translation!F86,'2 Input'!P34=Translation!G86,'2 Input'!P34=Translation!H86),"Yes","No")</f>
        <v>Yes</v>
      </c>
      <c r="F66" s="44"/>
      <c r="G66" s="32">
        <f>IF(E66="Yes",1,0)</f>
        <v>1</v>
      </c>
    </row>
    <row r="67" spans="1:22" ht="14.25" customHeight="1">
      <c r="A67" s="44" t="str">
        <f>'2 Input'!L35</f>
        <v>Autonomy of the system</v>
      </c>
      <c r="B67" s="44"/>
      <c r="C67" s="44"/>
      <c r="D67" s="78"/>
      <c r="E67" s="28">
        <f>'2 Input'!N55</f>
        <v>1</v>
      </c>
      <c r="F67" s="44"/>
    </row>
    <row r="68" spans="1:22" ht="14.25" customHeight="1">
      <c r="A68" s="44" t="str">
        <f>'2 Input'!L36</f>
        <v>PV System losses (e.g. 25%)</v>
      </c>
      <c r="B68" s="44"/>
      <c r="C68" s="44"/>
      <c r="D68" s="78"/>
      <c r="E68" s="28">
        <f>0+'2 Input'!N54</f>
        <v>25</v>
      </c>
      <c r="F68" s="44" t="s">
        <v>44</v>
      </c>
    </row>
    <row r="69" spans="1:22" ht="14.25" customHeight="1">
      <c r="E69" s="72"/>
    </row>
    <row r="70" spans="1:22" ht="14.25" customHeight="1">
      <c r="E70" s="72"/>
    </row>
    <row r="71" spans="1:22" ht="14.25" customHeight="1">
      <c r="E71" s="72"/>
    </row>
    <row r="72" spans="1:22" ht="14.25" customHeight="1">
      <c r="A72" s="62" t="s">
        <v>140</v>
      </c>
      <c r="B72" s="44"/>
      <c r="C72" s="44"/>
      <c r="D72" s="44"/>
      <c r="E72" s="84"/>
      <c r="F72" s="44"/>
      <c r="H72" s="31" t="s">
        <v>141</v>
      </c>
      <c r="N72" s="31"/>
      <c r="S72" s="31"/>
      <c r="T72" s="31"/>
    </row>
    <row r="73" spans="1:22" ht="14.25" customHeight="1">
      <c r="A73" s="44"/>
      <c r="B73" s="44"/>
      <c r="C73" s="44"/>
      <c r="D73" s="44"/>
      <c r="E73" s="84"/>
      <c r="F73" s="44"/>
      <c r="N73" s="31" t="s">
        <v>142</v>
      </c>
      <c r="S73" s="31" t="s">
        <v>143</v>
      </c>
      <c r="T73" s="31"/>
    </row>
    <row r="74" spans="1:22" ht="14.25" customHeight="1">
      <c r="A74" s="44" t="str">
        <f>'2 Input'!C35</f>
        <v>Currency used for calculation</v>
      </c>
      <c r="B74" s="44"/>
      <c r="C74" s="44"/>
      <c r="D74" s="44"/>
      <c r="E74" s="28" t="str">
        <f>'2 Input'!G35</f>
        <v>$</v>
      </c>
      <c r="F74" s="44"/>
    </row>
    <row r="75" spans="1:22" ht="14.25" customHeight="1">
      <c r="A75" s="44" t="str">
        <f>'2 Input'!C36</f>
        <v>Specific cost of PV</v>
      </c>
      <c r="B75" s="44"/>
      <c r="C75" s="44"/>
      <c r="D75" s="44"/>
      <c r="E75" s="28">
        <f>'2 Input'!G36</f>
        <v>1.1000000000000001</v>
      </c>
      <c r="F75" s="44" t="str">
        <f>E74&amp;"/Wp"</f>
        <v>$/Wp</v>
      </c>
      <c r="H75" s="32" t="s">
        <v>144</v>
      </c>
      <c r="K75" s="32">
        <f>E83*E28*E34*12</f>
        <v>0</v>
      </c>
      <c r="L75" s="32" t="str">
        <f>E74&amp;"/year"</f>
        <v>$/year</v>
      </c>
      <c r="N75" s="32" t="s">
        <v>145</v>
      </c>
      <c r="P75" s="32">
        <f>(P21+P19)*E75</f>
        <v>10055.1</v>
      </c>
      <c r="S75" s="32" t="s">
        <v>145</v>
      </c>
      <c r="V75" s="32">
        <f>P19*E75</f>
        <v>0</v>
      </c>
    </row>
    <row r="76" spans="1:22" ht="14.25" customHeight="1">
      <c r="A76" s="44" t="str">
        <f>'2 Input'!C37</f>
        <v>PV lifetime</v>
      </c>
      <c r="B76" s="44"/>
      <c r="C76" s="44"/>
      <c r="D76" s="44"/>
      <c r="E76" s="28">
        <f>'2 Input'!G37</f>
        <v>25</v>
      </c>
      <c r="F76" s="44" t="s">
        <v>146</v>
      </c>
      <c r="H76" s="87" t="s">
        <v>147</v>
      </c>
      <c r="I76" s="87"/>
      <c r="J76" s="87"/>
      <c r="K76" s="87">
        <f>E84*12</f>
        <v>6000</v>
      </c>
      <c r="L76" s="87" t="str">
        <f>E74&amp;"/year"</f>
        <v>$/year</v>
      </c>
      <c r="N76" s="32" t="s">
        <v>148</v>
      </c>
      <c r="P76" s="32">
        <f>E76</f>
        <v>25</v>
      </c>
      <c r="S76" s="32" t="s">
        <v>148</v>
      </c>
      <c r="V76" s="32">
        <f>E76</f>
        <v>25</v>
      </c>
    </row>
    <row r="77" spans="1:22" ht="14.25" customHeight="1">
      <c r="A77" s="44" t="str">
        <f>'2 Input'!C38</f>
        <v xml:space="preserve">Specif cost of battery  </v>
      </c>
      <c r="B77" s="44"/>
      <c r="C77" s="44"/>
      <c r="D77" s="44"/>
      <c r="E77" s="28">
        <f>'2 Input'!G38</f>
        <v>2.5</v>
      </c>
      <c r="F77" s="44" t="str">
        <f>E74&amp;"/Ah@12V"</f>
        <v>$/Ah@12V</v>
      </c>
      <c r="H77" s="32" t="s">
        <v>149</v>
      </c>
      <c r="K77" s="32">
        <f>SUM(K75:K76)</f>
        <v>6000</v>
      </c>
      <c r="L77" s="32" t="str">
        <f>E74&amp;"/year"</f>
        <v>$/year</v>
      </c>
      <c r="N77" s="32" t="s">
        <v>150</v>
      </c>
      <c r="P77" s="88">
        <f>(P22+P23)*E77</f>
        <v>12550</v>
      </c>
    </row>
    <row r="78" spans="1:22" ht="14.25" customHeight="1">
      <c r="A78" s="44" t="str">
        <f>'2 Input'!C39</f>
        <v>Battery lifetime</v>
      </c>
      <c r="B78" s="44"/>
      <c r="C78" s="44"/>
      <c r="D78" s="44"/>
      <c r="E78" s="28">
        <f>'2 Input'!G39</f>
        <v>5</v>
      </c>
      <c r="F78" s="44" t="s">
        <v>146</v>
      </c>
      <c r="N78" s="32" t="s">
        <v>151</v>
      </c>
      <c r="P78" s="32">
        <f>E78</f>
        <v>5</v>
      </c>
    </row>
    <row r="79" spans="1:22" ht="14.25" customHeight="1">
      <c r="A79" s="44" t="str">
        <f>'2 Input'!C40</f>
        <v>Cost of a Monoblock cooling unit</v>
      </c>
      <c r="B79" s="44"/>
      <c r="C79" s="44"/>
      <c r="D79" s="44"/>
      <c r="E79" s="28">
        <f>'2 Input'!G40</f>
        <v>2500</v>
      </c>
      <c r="F79" s="44" t="str">
        <f>E74</f>
        <v>$</v>
      </c>
      <c r="N79" s="32" t="s">
        <v>152</v>
      </c>
      <c r="P79" s="32">
        <f>P20*E79</f>
        <v>2500</v>
      </c>
      <c r="S79" s="32" t="s">
        <v>152</v>
      </c>
      <c r="V79" s="32">
        <f>P18*E79</f>
        <v>2500</v>
      </c>
    </row>
    <row r="80" spans="1:22" ht="14.25" customHeight="1">
      <c r="A80" s="44" t="str">
        <f>'2 Input'!C41</f>
        <v>Solar cooling unit lifetime</v>
      </c>
      <c r="B80" s="44"/>
      <c r="C80" s="44"/>
      <c r="D80" s="44"/>
      <c r="E80" s="28">
        <f>'2 Input'!G41</f>
        <v>15</v>
      </c>
      <c r="F80" s="44" t="s">
        <v>146</v>
      </c>
      <c r="N80" s="32" t="s">
        <v>153</v>
      </c>
      <c r="P80" s="32">
        <f t="shared" ref="P80:P82" si="23">E80</f>
        <v>15</v>
      </c>
      <c r="S80" s="32" t="s">
        <v>153</v>
      </c>
      <c r="V80" s="32">
        <f t="shared" ref="V80:V82" si="24">E80</f>
        <v>15</v>
      </c>
    </row>
    <row r="81" spans="1:29" ht="14.25" customHeight="1">
      <c r="A81" s="44" t="str">
        <f>'2 Input'!C42</f>
        <v>Costs of aditional materials (cold cell, waterchiller box, pipes, water pump)</v>
      </c>
      <c r="B81" s="44"/>
      <c r="C81" s="44"/>
      <c r="D81" s="44"/>
      <c r="E81" s="28">
        <f>'2 Input'!G42</f>
        <v>8000</v>
      </c>
      <c r="F81" s="44" t="str">
        <f>E74</f>
        <v>$</v>
      </c>
      <c r="N81" s="32" t="s">
        <v>154</v>
      </c>
      <c r="P81" s="32">
        <f t="shared" si="23"/>
        <v>8000</v>
      </c>
      <c r="S81" s="32" t="s">
        <v>154</v>
      </c>
      <c r="V81" s="32">
        <f t="shared" si="24"/>
        <v>8000</v>
      </c>
    </row>
    <row r="82" spans="1:29" ht="14.25" customHeight="1">
      <c r="A82" s="44" t="str">
        <f>'2 Input'!C43</f>
        <v>Maintenance costs per year</v>
      </c>
      <c r="B82" s="44"/>
      <c r="C82" s="44"/>
      <c r="D82" s="44"/>
      <c r="E82" s="28">
        <f>'2 Input'!G43</f>
        <v>200</v>
      </c>
      <c r="F82" s="44" t="str">
        <f>E74&amp;"/year"</f>
        <v>$/year</v>
      </c>
      <c r="N82" s="32" t="s">
        <v>155</v>
      </c>
      <c r="P82" s="32">
        <f t="shared" si="23"/>
        <v>200</v>
      </c>
      <c r="S82" s="32" t="s">
        <v>155</v>
      </c>
      <c r="V82" s="88">
        <f t="shared" si="24"/>
        <v>200</v>
      </c>
    </row>
    <row r="83" spans="1:29" ht="14.25" customHeight="1">
      <c r="A83" s="44" t="str">
        <f>'2 Input'!C45</f>
        <v>Additional income per product unit</v>
      </c>
      <c r="B83" s="44"/>
      <c r="C83" s="44"/>
      <c r="D83" s="44"/>
      <c r="E83" s="28">
        <f>'2 Input'!G45</f>
        <v>0</v>
      </c>
      <c r="F83" s="44" t="str">
        <f>E74&amp;"/kg or l"</f>
        <v>$/kg or l</v>
      </c>
      <c r="O83" s="88"/>
    </row>
    <row r="84" spans="1:29" ht="14.25" customHeight="1">
      <c r="A84" s="44" t="str">
        <f>'2 Input'!C46</f>
        <v>Additional income per month</v>
      </c>
      <c r="B84" s="44"/>
      <c r="C84" s="44"/>
      <c r="D84" s="44"/>
      <c r="E84" s="28">
        <f>'2 Input'!G46</f>
        <v>500</v>
      </c>
      <c r="F84" s="44" t="str">
        <f>E74&amp;"/year"</f>
        <v>$/year</v>
      </c>
    </row>
    <row r="85" spans="1:29" ht="14.25" customHeight="1">
      <c r="A85" s="44" t="str">
        <f>'2 Input'!C47</f>
        <v>Discount rate</v>
      </c>
      <c r="B85" s="44"/>
      <c r="C85" s="44"/>
      <c r="D85" s="44"/>
      <c r="E85" s="28">
        <f>'2 Input'!G47</f>
        <v>5</v>
      </c>
      <c r="F85" s="44" t="s">
        <v>44</v>
      </c>
    </row>
    <row r="86" spans="1:29" ht="14.25" customHeight="1">
      <c r="A86" s="44" t="str">
        <f>'2 Input'!C48</f>
        <v xml:space="preserve">Inflation  </v>
      </c>
      <c r="B86" s="44"/>
      <c r="C86" s="44"/>
      <c r="D86" s="44"/>
      <c r="E86" s="28">
        <f>'2 Input'!G48</f>
        <v>3</v>
      </c>
      <c r="F86" s="44" t="s">
        <v>44</v>
      </c>
    </row>
    <row r="87" spans="1:29" ht="14.25" customHeight="1"/>
    <row r="88" spans="1:29" ht="14.25" customHeight="1"/>
    <row r="89" spans="1:29" ht="14.25" customHeight="1">
      <c r="B89" s="31" t="s">
        <v>156</v>
      </c>
      <c r="F89" s="32" t="s">
        <v>157</v>
      </c>
      <c r="H89" s="32" t="str">
        <f>E66</f>
        <v>Yes</v>
      </c>
    </row>
    <row r="90" spans="1:29" ht="14.25" customHeight="1"/>
    <row r="91" spans="1:29" ht="14.25" customHeight="1">
      <c r="D91" s="32">
        <f t="shared" ref="D91:R91" si="25">IF(E107&lt;0,0,1)</f>
        <v>0</v>
      </c>
      <c r="E91" s="32">
        <f t="shared" si="25"/>
        <v>0</v>
      </c>
      <c r="F91" s="32">
        <f t="shared" si="25"/>
        <v>0</v>
      </c>
      <c r="G91" s="32">
        <f t="shared" si="25"/>
        <v>0</v>
      </c>
      <c r="H91" s="32">
        <f t="shared" si="25"/>
        <v>0</v>
      </c>
      <c r="I91" s="32">
        <f t="shared" si="25"/>
        <v>0</v>
      </c>
      <c r="J91" s="32">
        <f t="shared" si="25"/>
        <v>0</v>
      </c>
      <c r="K91" s="32">
        <f t="shared" si="25"/>
        <v>1</v>
      </c>
      <c r="L91" s="32">
        <f t="shared" si="25"/>
        <v>0</v>
      </c>
      <c r="M91" s="32">
        <f t="shared" si="25"/>
        <v>0</v>
      </c>
      <c r="N91" s="32">
        <f t="shared" si="25"/>
        <v>1</v>
      </c>
      <c r="O91" s="32">
        <f t="shared" si="25"/>
        <v>1</v>
      </c>
      <c r="P91" s="32">
        <f t="shared" si="25"/>
        <v>1</v>
      </c>
      <c r="Q91" s="32">
        <f t="shared" si="25"/>
        <v>0</v>
      </c>
      <c r="R91" s="32">
        <f t="shared" si="25"/>
        <v>1</v>
      </c>
      <c r="S91" s="32">
        <f>IF(U107&lt;0,0,1)</f>
        <v>1</v>
      </c>
      <c r="U91" s="32">
        <f t="shared" ref="U91:AC91" si="26">IF(V107&lt;0,0,1)</f>
        <v>1</v>
      </c>
      <c r="V91" s="32">
        <f t="shared" si="26"/>
        <v>1</v>
      </c>
      <c r="W91" s="32">
        <f t="shared" si="26"/>
        <v>1</v>
      </c>
      <c r="X91" s="32">
        <f t="shared" si="26"/>
        <v>1</v>
      </c>
      <c r="Y91" s="32">
        <f t="shared" si="26"/>
        <v>1</v>
      </c>
      <c r="Z91" s="32">
        <f t="shared" si="26"/>
        <v>1</v>
      </c>
      <c r="AA91" s="32">
        <f t="shared" si="26"/>
        <v>1</v>
      </c>
      <c r="AB91" s="32">
        <f t="shared" si="26"/>
        <v>0</v>
      </c>
      <c r="AC91" s="32">
        <f t="shared" si="26"/>
        <v>1</v>
      </c>
    </row>
    <row r="92" spans="1:29" ht="14.25" customHeight="1">
      <c r="A92" s="89"/>
      <c r="B92" s="90" t="s">
        <v>158</v>
      </c>
      <c r="C92" s="90">
        <v>0</v>
      </c>
      <c r="D92" s="90">
        <v>1</v>
      </c>
      <c r="E92" s="90">
        <v>2</v>
      </c>
      <c r="F92" s="90">
        <v>3</v>
      </c>
      <c r="G92" s="90">
        <v>4</v>
      </c>
      <c r="H92" s="90">
        <v>5</v>
      </c>
      <c r="I92" s="90">
        <v>6</v>
      </c>
      <c r="J92" s="90">
        <v>7</v>
      </c>
      <c r="K92" s="90">
        <v>8</v>
      </c>
      <c r="L92" s="90">
        <v>9</v>
      </c>
      <c r="M92" s="90">
        <v>10</v>
      </c>
      <c r="N92" s="90">
        <v>11</v>
      </c>
      <c r="O92" s="90">
        <v>12</v>
      </c>
      <c r="P92" s="90">
        <v>13</v>
      </c>
      <c r="Q92" s="90">
        <v>14</v>
      </c>
      <c r="R92" s="90">
        <v>15</v>
      </c>
      <c r="S92" s="90">
        <v>16</v>
      </c>
      <c r="T92" s="90"/>
      <c r="U92" s="90">
        <v>17</v>
      </c>
      <c r="V92" s="90">
        <v>18</v>
      </c>
      <c r="W92" s="90">
        <v>19</v>
      </c>
      <c r="X92" s="90">
        <v>20</v>
      </c>
      <c r="Y92" s="90">
        <v>21</v>
      </c>
      <c r="Z92" s="90">
        <v>22</v>
      </c>
      <c r="AA92" s="90">
        <v>23</v>
      </c>
      <c r="AB92" s="90">
        <v>24</v>
      </c>
      <c r="AC92" s="91">
        <v>25</v>
      </c>
    </row>
    <row r="93" spans="1:29" ht="14.25" customHeight="1">
      <c r="A93" s="92"/>
      <c r="AC93" s="93"/>
    </row>
    <row r="94" spans="1:29" ht="14.25" customHeight="1">
      <c r="A94" s="92" t="s">
        <v>159</v>
      </c>
      <c r="C94" s="88">
        <f>P75</f>
        <v>10055.1</v>
      </c>
      <c r="D94" s="88">
        <f t="shared" ref="D94:S94" si="27">IF(MOD(D92,$P$76)=0,$C$94*(1+($E$86/100))^D92,0)</f>
        <v>0</v>
      </c>
      <c r="E94" s="88">
        <f t="shared" si="27"/>
        <v>0</v>
      </c>
      <c r="F94" s="88">
        <f t="shared" si="27"/>
        <v>0</v>
      </c>
      <c r="G94" s="88">
        <f t="shared" si="27"/>
        <v>0</v>
      </c>
      <c r="H94" s="88">
        <f t="shared" si="27"/>
        <v>0</v>
      </c>
      <c r="I94" s="88">
        <f t="shared" si="27"/>
        <v>0</v>
      </c>
      <c r="J94" s="88">
        <f t="shared" si="27"/>
        <v>0</v>
      </c>
      <c r="K94" s="88">
        <f t="shared" si="27"/>
        <v>0</v>
      </c>
      <c r="L94" s="88">
        <f t="shared" si="27"/>
        <v>0</v>
      </c>
      <c r="M94" s="88">
        <f t="shared" si="27"/>
        <v>0</v>
      </c>
      <c r="N94" s="88">
        <f t="shared" si="27"/>
        <v>0</v>
      </c>
      <c r="O94" s="88">
        <f t="shared" si="27"/>
        <v>0</v>
      </c>
      <c r="P94" s="88">
        <f t="shared" si="27"/>
        <v>0</v>
      </c>
      <c r="Q94" s="88">
        <f t="shared" si="27"/>
        <v>0</v>
      </c>
      <c r="R94" s="88">
        <f t="shared" si="27"/>
        <v>0</v>
      </c>
      <c r="S94" s="88">
        <f t="shared" si="27"/>
        <v>0</v>
      </c>
      <c r="T94" s="88"/>
      <c r="U94" s="88">
        <f t="shared" ref="U94:AC94" si="28">IF(MOD(U92,$P$76)=0,$C$94*(1+($E$86/100))^U92,0)</f>
        <v>0</v>
      </c>
      <c r="V94" s="88">
        <f t="shared" si="28"/>
        <v>0</v>
      </c>
      <c r="W94" s="88">
        <f t="shared" si="28"/>
        <v>0</v>
      </c>
      <c r="X94" s="88">
        <f t="shared" si="28"/>
        <v>0</v>
      </c>
      <c r="Y94" s="88">
        <f t="shared" si="28"/>
        <v>0</v>
      </c>
      <c r="Z94" s="88">
        <f t="shared" si="28"/>
        <v>0</v>
      </c>
      <c r="AA94" s="88">
        <f t="shared" si="28"/>
        <v>0</v>
      </c>
      <c r="AB94" s="88">
        <f t="shared" si="28"/>
        <v>0</v>
      </c>
      <c r="AC94" s="94">
        <f t="shared" si="28"/>
        <v>21053.146460466087</v>
      </c>
    </row>
    <row r="95" spans="1:29" ht="14.25" customHeight="1">
      <c r="A95" s="92" t="s">
        <v>160</v>
      </c>
      <c r="C95" s="88">
        <f>P77</f>
        <v>12550</v>
      </c>
      <c r="D95" s="88">
        <f t="shared" ref="D95:S95" si="29">IF(MOD(D92,$P$78)=0,$C$95*(1+($E$86/100))^D92,0)</f>
        <v>0</v>
      </c>
      <c r="E95" s="88">
        <f t="shared" si="29"/>
        <v>0</v>
      </c>
      <c r="F95" s="88">
        <f t="shared" si="29"/>
        <v>0</v>
      </c>
      <c r="G95" s="88">
        <f t="shared" si="29"/>
        <v>0</v>
      </c>
      <c r="H95" s="88">
        <f t="shared" si="29"/>
        <v>14548.889632464998</v>
      </c>
      <c r="I95" s="88">
        <f t="shared" si="29"/>
        <v>0</v>
      </c>
      <c r="J95" s="88">
        <f t="shared" si="29"/>
        <v>0</v>
      </c>
      <c r="K95" s="88">
        <f t="shared" si="29"/>
        <v>0</v>
      </c>
      <c r="L95" s="88">
        <f t="shared" si="29"/>
        <v>0</v>
      </c>
      <c r="M95" s="88">
        <f t="shared" si="29"/>
        <v>16866.150560768729</v>
      </c>
      <c r="N95" s="88">
        <f t="shared" si="29"/>
        <v>0</v>
      </c>
      <c r="O95" s="88">
        <f t="shared" si="29"/>
        <v>0</v>
      </c>
      <c r="P95" s="88">
        <f t="shared" si="29"/>
        <v>0</v>
      </c>
      <c r="Q95" s="88">
        <f t="shared" si="29"/>
        <v>0</v>
      </c>
      <c r="R95" s="88">
        <f t="shared" si="29"/>
        <v>19552.491078339594</v>
      </c>
      <c r="S95" s="88">
        <f t="shared" si="29"/>
        <v>0</v>
      </c>
      <c r="T95" s="88"/>
      <c r="U95" s="88">
        <f t="shared" ref="U95:AC95" si="30">IF(MOD(U92,$P$78)=0,$C$95*(1+($E$86/100))^U92,0)</f>
        <v>0</v>
      </c>
      <c r="V95" s="88">
        <f t="shared" si="30"/>
        <v>0</v>
      </c>
      <c r="W95" s="88">
        <f t="shared" si="30"/>
        <v>0</v>
      </c>
      <c r="X95" s="88">
        <f t="shared" si="30"/>
        <v>22666.695995101138</v>
      </c>
      <c r="Y95" s="88">
        <f t="shared" si="30"/>
        <v>0</v>
      </c>
      <c r="Z95" s="88">
        <f t="shared" si="30"/>
        <v>0</v>
      </c>
      <c r="AA95" s="88">
        <f t="shared" si="30"/>
        <v>0</v>
      </c>
      <c r="AB95" s="88">
        <f t="shared" si="30"/>
        <v>0</v>
      </c>
      <c r="AC95" s="94">
        <f t="shared" si="30"/>
        <v>26276.913017160383</v>
      </c>
    </row>
    <row r="96" spans="1:29" ht="14.25" customHeight="1">
      <c r="A96" s="92" t="s">
        <v>161</v>
      </c>
      <c r="C96" s="88">
        <f>P79</f>
        <v>2500</v>
      </c>
      <c r="D96" s="88">
        <f t="shared" ref="D96:S96" si="31">IF(MOD(D92,$P$80)=0,$C$96*(1+($E$86/100))^D92,0)</f>
        <v>0</v>
      </c>
      <c r="E96" s="88">
        <f t="shared" si="31"/>
        <v>0</v>
      </c>
      <c r="F96" s="88">
        <f t="shared" si="31"/>
        <v>0</v>
      </c>
      <c r="G96" s="88">
        <f t="shared" si="31"/>
        <v>0</v>
      </c>
      <c r="H96" s="88">
        <f t="shared" si="31"/>
        <v>0</v>
      </c>
      <c r="I96" s="88">
        <f t="shared" si="31"/>
        <v>0</v>
      </c>
      <c r="J96" s="88">
        <f t="shared" si="31"/>
        <v>0</v>
      </c>
      <c r="K96" s="88">
        <f t="shared" si="31"/>
        <v>0</v>
      </c>
      <c r="L96" s="88">
        <f t="shared" si="31"/>
        <v>0</v>
      </c>
      <c r="M96" s="88">
        <f t="shared" si="31"/>
        <v>0</v>
      </c>
      <c r="N96" s="88">
        <f t="shared" si="31"/>
        <v>0</v>
      </c>
      <c r="O96" s="88">
        <f t="shared" si="31"/>
        <v>0</v>
      </c>
      <c r="P96" s="88">
        <f t="shared" si="31"/>
        <v>0</v>
      </c>
      <c r="Q96" s="88">
        <f t="shared" si="31"/>
        <v>0</v>
      </c>
      <c r="R96" s="88">
        <f t="shared" si="31"/>
        <v>3894.918541501911</v>
      </c>
      <c r="S96" s="88">
        <f t="shared" si="31"/>
        <v>0</v>
      </c>
      <c r="T96" s="88"/>
      <c r="U96" s="88">
        <f t="shared" ref="U96:AC96" si="32">IF(MOD(U92,$P$80)=0,$C$96*(1+($E$86/100))^U92,0)</f>
        <v>0</v>
      </c>
      <c r="V96" s="88">
        <f t="shared" si="32"/>
        <v>0</v>
      </c>
      <c r="W96" s="88">
        <f t="shared" si="32"/>
        <v>0</v>
      </c>
      <c r="X96" s="88">
        <f t="shared" si="32"/>
        <v>0</v>
      </c>
      <c r="Y96" s="88">
        <f t="shared" si="32"/>
        <v>0</v>
      </c>
      <c r="Z96" s="88">
        <f t="shared" si="32"/>
        <v>0</v>
      </c>
      <c r="AA96" s="88">
        <f t="shared" si="32"/>
        <v>0</v>
      </c>
      <c r="AB96" s="88">
        <f t="shared" si="32"/>
        <v>0</v>
      </c>
      <c r="AC96" s="94">
        <f t="shared" si="32"/>
        <v>0</v>
      </c>
    </row>
    <row r="97" spans="1:29" ht="14.25" customHeight="1">
      <c r="A97" s="92" t="s">
        <v>162</v>
      </c>
      <c r="C97" s="88">
        <f>P81</f>
        <v>8000</v>
      </c>
      <c r="D97" s="88">
        <v>0</v>
      </c>
      <c r="E97" s="88">
        <v>0</v>
      </c>
      <c r="F97" s="88">
        <v>0</v>
      </c>
      <c r="G97" s="88">
        <v>0</v>
      </c>
      <c r="H97" s="88">
        <v>0</v>
      </c>
      <c r="I97" s="88">
        <v>0</v>
      </c>
      <c r="J97" s="88">
        <v>0</v>
      </c>
      <c r="K97" s="88">
        <v>0</v>
      </c>
      <c r="L97" s="88">
        <v>0</v>
      </c>
      <c r="M97" s="88">
        <v>0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/>
      <c r="U97" s="88">
        <v>0</v>
      </c>
      <c r="V97" s="88">
        <v>0</v>
      </c>
      <c r="W97" s="88">
        <v>0</v>
      </c>
      <c r="X97" s="88">
        <v>0</v>
      </c>
      <c r="Y97" s="88">
        <v>0</v>
      </c>
      <c r="Z97" s="88">
        <v>0</v>
      </c>
      <c r="AA97" s="88">
        <v>0</v>
      </c>
      <c r="AB97" s="88">
        <v>0</v>
      </c>
      <c r="AC97" s="94">
        <v>0</v>
      </c>
    </row>
    <row r="98" spans="1:29" ht="14.25" customHeight="1">
      <c r="A98" s="92" t="s">
        <v>163</v>
      </c>
      <c r="C98" s="88">
        <v>0</v>
      </c>
      <c r="D98" s="88">
        <f>P82</f>
        <v>200</v>
      </c>
      <c r="E98" s="88">
        <f t="shared" ref="E98:S98" si="33">$D$98*(1+($E$86/100))^(E92-1)</f>
        <v>206</v>
      </c>
      <c r="F98" s="88">
        <f t="shared" si="33"/>
        <v>212.17999999999998</v>
      </c>
      <c r="G98" s="88">
        <f t="shared" si="33"/>
        <v>218.5454</v>
      </c>
      <c r="H98" s="88">
        <f t="shared" si="33"/>
        <v>225.10176199999998</v>
      </c>
      <c r="I98" s="88">
        <f t="shared" si="33"/>
        <v>231.85481485999998</v>
      </c>
      <c r="J98" s="88">
        <f t="shared" si="33"/>
        <v>238.81045930579998</v>
      </c>
      <c r="K98" s="88">
        <f t="shared" si="33"/>
        <v>245.974773084974</v>
      </c>
      <c r="L98" s="88">
        <f t="shared" si="33"/>
        <v>253.35401627752319</v>
      </c>
      <c r="M98" s="88">
        <f t="shared" si="33"/>
        <v>260.95463676584887</v>
      </c>
      <c r="N98" s="88">
        <f t="shared" si="33"/>
        <v>268.78327586882438</v>
      </c>
      <c r="O98" s="88">
        <f t="shared" si="33"/>
        <v>276.84677414488908</v>
      </c>
      <c r="P98" s="88">
        <f t="shared" si="33"/>
        <v>285.15217736923574</v>
      </c>
      <c r="Q98" s="88">
        <f t="shared" si="33"/>
        <v>293.70674269031281</v>
      </c>
      <c r="R98" s="88">
        <f t="shared" si="33"/>
        <v>302.51794497102219</v>
      </c>
      <c r="S98" s="88">
        <f t="shared" si="33"/>
        <v>311.59348332015287</v>
      </c>
      <c r="T98" s="88"/>
      <c r="U98" s="88">
        <f t="shared" ref="U98:AC98" si="34">$D$98*(1+($E$86/100))^(U92-1)</f>
        <v>320.94128781975741</v>
      </c>
      <c r="V98" s="88">
        <f t="shared" si="34"/>
        <v>330.56952645435013</v>
      </c>
      <c r="W98" s="88">
        <f t="shared" si="34"/>
        <v>340.48661224798064</v>
      </c>
      <c r="X98" s="88">
        <f t="shared" si="34"/>
        <v>350.70121061542005</v>
      </c>
      <c r="Y98" s="88">
        <f t="shared" si="34"/>
        <v>361.22224693388267</v>
      </c>
      <c r="Z98" s="88">
        <f t="shared" si="34"/>
        <v>372.05891434189908</v>
      </c>
      <c r="AA98" s="88">
        <f t="shared" si="34"/>
        <v>383.22068177215607</v>
      </c>
      <c r="AB98" s="88">
        <f t="shared" si="34"/>
        <v>394.71730222532079</v>
      </c>
      <c r="AC98" s="94">
        <f t="shared" si="34"/>
        <v>406.55882129208038</v>
      </c>
    </row>
    <row r="99" spans="1:29" ht="14.25" customHeight="1">
      <c r="A99" s="95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96"/>
    </row>
    <row r="100" spans="1:29" ht="14.25" customHeight="1">
      <c r="A100" s="92" t="s">
        <v>164</v>
      </c>
      <c r="C100" s="88">
        <f t="shared" ref="C100:S100" si="35">SUM(C94:C99)</f>
        <v>33105.1</v>
      </c>
      <c r="D100" s="88">
        <f t="shared" si="35"/>
        <v>200</v>
      </c>
      <c r="E100" s="88">
        <f t="shared" si="35"/>
        <v>206</v>
      </c>
      <c r="F100" s="88">
        <f t="shared" si="35"/>
        <v>212.17999999999998</v>
      </c>
      <c r="G100" s="88">
        <f t="shared" si="35"/>
        <v>218.5454</v>
      </c>
      <c r="H100" s="88">
        <f t="shared" si="35"/>
        <v>14773.991394464998</v>
      </c>
      <c r="I100" s="88">
        <f t="shared" si="35"/>
        <v>231.85481485999998</v>
      </c>
      <c r="J100" s="88">
        <f t="shared" si="35"/>
        <v>238.81045930579998</v>
      </c>
      <c r="K100" s="88">
        <f t="shared" si="35"/>
        <v>245.974773084974</v>
      </c>
      <c r="L100" s="88">
        <f t="shared" si="35"/>
        <v>253.35401627752319</v>
      </c>
      <c r="M100" s="88">
        <f t="shared" si="35"/>
        <v>17127.105197534576</v>
      </c>
      <c r="N100" s="88">
        <f t="shared" si="35"/>
        <v>268.78327586882438</v>
      </c>
      <c r="O100" s="88">
        <f t="shared" si="35"/>
        <v>276.84677414488908</v>
      </c>
      <c r="P100" s="88">
        <f t="shared" si="35"/>
        <v>285.15217736923574</v>
      </c>
      <c r="Q100" s="88">
        <f t="shared" si="35"/>
        <v>293.70674269031281</v>
      </c>
      <c r="R100" s="88">
        <f t="shared" si="35"/>
        <v>23749.927564812529</v>
      </c>
      <c r="S100" s="88">
        <f t="shared" si="35"/>
        <v>311.59348332015287</v>
      </c>
      <c r="T100" s="88"/>
      <c r="U100" s="88">
        <f t="shared" ref="U100:AC100" si="36">SUM(U94:U99)</f>
        <v>320.94128781975741</v>
      </c>
      <c r="V100" s="88">
        <f t="shared" si="36"/>
        <v>330.56952645435013</v>
      </c>
      <c r="W100" s="88">
        <f t="shared" si="36"/>
        <v>340.48661224798064</v>
      </c>
      <c r="X100" s="88">
        <f t="shared" si="36"/>
        <v>23017.397205716559</v>
      </c>
      <c r="Y100" s="88">
        <f t="shared" si="36"/>
        <v>361.22224693388267</v>
      </c>
      <c r="Z100" s="88">
        <f t="shared" si="36"/>
        <v>372.05891434189908</v>
      </c>
      <c r="AA100" s="88">
        <f t="shared" si="36"/>
        <v>383.22068177215607</v>
      </c>
      <c r="AB100" s="88">
        <f t="shared" si="36"/>
        <v>394.71730222532079</v>
      </c>
      <c r="AC100" s="94">
        <f t="shared" si="36"/>
        <v>47736.618298918547</v>
      </c>
    </row>
    <row r="101" spans="1:29" ht="14.25" customHeight="1">
      <c r="A101" s="92" t="s">
        <v>165</v>
      </c>
      <c r="C101" s="88">
        <f>C100</f>
        <v>33105.1</v>
      </c>
      <c r="D101" s="88">
        <f t="shared" ref="D101:S101" si="37">SUM($C$100:D100)</f>
        <v>33305.1</v>
      </c>
      <c r="E101" s="88">
        <f t="shared" si="37"/>
        <v>33511.1</v>
      </c>
      <c r="F101" s="88">
        <f t="shared" si="37"/>
        <v>33723.279999999999</v>
      </c>
      <c r="G101" s="88">
        <f t="shared" si="37"/>
        <v>33941.825400000002</v>
      </c>
      <c r="H101" s="88">
        <f t="shared" si="37"/>
        <v>48715.816794464998</v>
      </c>
      <c r="I101" s="88">
        <f t="shared" si="37"/>
        <v>48947.671609325</v>
      </c>
      <c r="J101" s="88">
        <f t="shared" si="37"/>
        <v>49186.482068630801</v>
      </c>
      <c r="K101" s="88">
        <f t="shared" si="37"/>
        <v>49432.456841715772</v>
      </c>
      <c r="L101" s="88">
        <f t="shared" si="37"/>
        <v>49685.810857993296</v>
      </c>
      <c r="M101" s="88">
        <f t="shared" si="37"/>
        <v>66812.916055527865</v>
      </c>
      <c r="N101" s="88">
        <f t="shared" si="37"/>
        <v>67081.699331396696</v>
      </c>
      <c r="O101" s="88">
        <f t="shared" si="37"/>
        <v>67358.54610554158</v>
      </c>
      <c r="P101" s="88">
        <f t="shared" si="37"/>
        <v>67643.698282910816</v>
      </c>
      <c r="Q101" s="88">
        <f t="shared" si="37"/>
        <v>67937.405025601125</v>
      </c>
      <c r="R101" s="88">
        <f t="shared" si="37"/>
        <v>91687.332590413658</v>
      </c>
      <c r="S101" s="88">
        <f t="shared" si="37"/>
        <v>91998.926073733805</v>
      </c>
      <c r="T101" s="88"/>
      <c r="U101" s="88">
        <f t="shared" ref="U101:AC101" si="38">SUM($C$100:U100)</f>
        <v>92319.867361553566</v>
      </c>
      <c r="V101" s="88">
        <f t="shared" si="38"/>
        <v>92650.436888007913</v>
      </c>
      <c r="W101" s="88">
        <f t="shared" si="38"/>
        <v>92990.9235002559</v>
      </c>
      <c r="X101" s="88">
        <f t="shared" si="38"/>
        <v>116008.32070597247</v>
      </c>
      <c r="Y101" s="88">
        <f t="shared" si="38"/>
        <v>116369.54295290635</v>
      </c>
      <c r="Z101" s="88">
        <f t="shared" si="38"/>
        <v>116741.60186724826</v>
      </c>
      <c r="AA101" s="88">
        <f t="shared" si="38"/>
        <v>117124.82254902042</v>
      </c>
      <c r="AB101" s="88">
        <f t="shared" si="38"/>
        <v>117519.53985124575</v>
      </c>
      <c r="AC101" s="94">
        <f t="shared" si="38"/>
        <v>165256.15815016429</v>
      </c>
    </row>
    <row r="102" spans="1:29" ht="14.25" customHeight="1">
      <c r="A102" s="92" t="s">
        <v>166</v>
      </c>
      <c r="C102" s="88">
        <f t="shared" ref="C102:S102" si="39">IF($H$89="YES",C101,NA())</f>
        <v>33105.1</v>
      </c>
      <c r="D102" s="88">
        <f t="shared" si="39"/>
        <v>33305.1</v>
      </c>
      <c r="E102" s="88">
        <f t="shared" si="39"/>
        <v>33511.1</v>
      </c>
      <c r="F102" s="88">
        <f t="shared" si="39"/>
        <v>33723.279999999999</v>
      </c>
      <c r="G102" s="88">
        <f t="shared" si="39"/>
        <v>33941.825400000002</v>
      </c>
      <c r="H102" s="88">
        <f t="shared" si="39"/>
        <v>48715.816794464998</v>
      </c>
      <c r="I102" s="88">
        <f t="shared" si="39"/>
        <v>48947.671609325</v>
      </c>
      <c r="J102" s="88">
        <f t="shared" si="39"/>
        <v>49186.482068630801</v>
      </c>
      <c r="K102" s="88">
        <f t="shared" si="39"/>
        <v>49432.456841715772</v>
      </c>
      <c r="L102" s="88">
        <f t="shared" si="39"/>
        <v>49685.810857993296</v>
      </c>
      <c r="M102" s="88">
        <f t="shared" si="39"/>
        <v>66812.916055527865</v>
      </c>
      <c r="N102" s="88">
        <f t="shared" si="39"/>
        <v>67081.699331396696</v>
      </c>
      <c r="O102" s="88">
        <f t="shared" si="39"/>
        <v>67358.54610554158</v>
      </c>
      <c r="P102" s="88">
        <f t="shared" si="39"/>
        <v>67643.698282910816</v>
      </c>
      <c r="Q102" s="88">
        <f t="shared" si="39"/>
        <v>67937.405025601125</v>
      </c>
      <c r="R102" s="88">
        <f t="shared" si="39"/>
        <v>91687.332590413658</v>
      </c>
      <c r="S102" s="88">
        <f t="shared" si="39"/>
        <v>91998.926073733805</v>
      </c>
      <c r="T102" s="88"/>
      <c r="U102" s="88">
        <f t="shared" ref="U102:AC102" si="40">IF($H$89="YES",U101,NA())</f>
        <v>92319.867361553566</v>
      </c>
      <c r="V102" s="88">
        <f t="shared" si="40"/>
        <v>92650.436888007913</v>
      </c>
      <c r="W102" s="88">
        <f t="shared" si="40"/>
        <v>92990.9235002559</v>
      </c>
      <c r="X102" s="88">
        <f t="shared" si="40"/>
        <v>116008.32070597247</v>
      </c>
      <c r="Y102" s="88">
        <f t="shared" si="40"/>
        <v>116369.54295290635</v>
      </c>
      <c r="Z102" s="88">
        <f t="shared" si="40"/>
        <v>116741.60186724826</v>
      </c>
      <c r="AA102" s="88">
        <f t="shared" si="40"/>
        <v>117124.82254902042</v>
      </c>
      <c r="AB102" s="88">
        <f t="shared" si="40"/>
        <v>117519.53985124575</v>
      </c>
      <c r="AC102" s="94">
        <f t="shared" si="40"/>
        <v>165256.15815016429</v>
      </c>
    </row>
    <row r="103" spans="1:29" ht="14.25" customHeight="1">
      <c r="A103" s="92"/>
      <c r="F103" s="88"/>
      <c r="AC103" s="93"/>
    </row>
    <row r="104" spans="1:29" ht="14.25" customHeight="1">
      <c r="A104" s="95" t="s">
        <v>167</v>
      </c>
      <c r="B104" s="87"/>
      <c r="C104" s="87">
        <v>0</v>
      </c>
      <c r="D104" s="87">
        <f>K77</f>
        <v>6000</v>
      </c>
      <c r="E104" s="87">
        <f t="shared" ref="E104:S104" si="41">$K$77+D104</f>
        <v>12000</v>
      </c>
      <c r="F104" s="87">
        <f t="shared" si="41"/>
        <v>18000</v>
      </c>
      <c r="G104" s="87">
        <f t="shared" si="41"/>
        <v>24000</v>
      </c>
      <c r="H104" s="87">
        <f t="shared" si="41"/>
        <v>30000</v>
      </c>
      <c r="I104" s="87">
        <f t="shared" si="41"/>
        <v>36000</v>
      </c>
      <c r="J104" s="87">
        <f t="shared" si="41"/>
        <v>42000</v>
      </c>
      <c r="K104" s="87">
        <f t="shared" si="41"/>
        <v>48000</v>
      </c>
      <c r="L104" s="87">
        <f t="shared" si="41"/>
        <v>54000</v>
      </c>
      <c r="M104" s="87">
        <f t="shared" si="41"/>
        <v>60000</v>
      </c>
      <c r="N104" s="87">
        <f t="shared" si="41"/>
        <v>66000</v>
      </c>
      <c r="O104" s="87">
        <f t="shared" si="41"/>
        <v>72000</v>
      </c>
      <c r="P104" s="87">
        <f t="shared" si="41"/>
        <v>78000</v>
      </c>
      <c r="Q104" s="87">
        <f t="shared" si="41"/>
        <v>84000</v>
      </c>
      <c r="R104" s="87">
        <f t="shared" si="41"/>
        <v>90000</v>
      </c>
      <c r="S104" s="87">
        <f t="shared" si="41"/>
        <v>96000</v>
      </c>
      <c r="T104" s="87"/>
      <c r="U104" s="87">
        <f>$K$77+S104</f>
        <v>102000</v>
      </c>
      <c r="V104" s="87">
        <f t="shared" ref="V104:AC104" si="42">$K$77+U104</f>
        <v>108000</v>
      </c>
      <c r="W104" s="87">
        <f t="shared" si="42"/>
        <v>114000</v>
      </c>
      <c r="X104" s="87">
        <f t="shared" si="42"/>
        <v>120000</v>
      </c>
      <c r="Y104" s="87">
        <f t="shared" si="42"/>
        <v>126000</v>
      </c>
      <c r="Z104" s="87">
        <f t="shared" si="42"/>
        <v>132000</v>
      </c>
      <c r="AA104" s="87">
        <f t="shared" si="42"/>
        <v>138000</v>
      </c>
      <c r="AB104" s="87">
        <f t="shared" si="42"/>
        <v>144000</v>
      </c>
      <c r="AC104" s="96">
        <f t="shared" si="42"/>
        <v>150000</v>
      </c>
    </row>
    <row r="105" spans="1:29" ht="14.25" customHeight="1">
      <c r="A105" s="92" t="s">
        <v>168</v>
      </c>
      <c r="D105" s="32">
        <f t="shared" ref="D105:S105" si="43">$K$77</f>
        <v>6000</v>
      </c>
      <c r="E105" s="32">
        <f t="shared" si="43"/>
        <v>6000</v>
      </c>
      <c r="F105" s="32">
        <f t="shared" si="43"/>
        <v>6000</v>
      </c>
      <c r="G105" s="32">
        <f t="shared" si="43"/>
        <v>6000</v>
      </c>
      <c r="H105" s="32">
        <f t="shared" si="43"/>
        <v>6000</v>
      </c>
      <c r="I105" s="32">
        <f t="shared" si="43"/>
        <v>6000</v>
      </c>
      <c r="J105" s="32">
        <f t="shared" si="43"/>
        <v>6000</v>
      </c>
      <c r="K105" s="32">
        <f t="shared" si="43"/>
        <v>6000</v>
      </c>
      <c r="L105" s="32">
        <f t="shared" si="43"/>
        <v>6000</v>
      </c>
      <c r="M105" s="32">
        <f t="shared" si="43"/>
        <v>6000</v>
      </c>
      <c r="N105" s="32">
        <f t="shared" si="43"/>
        <v>6000</v>
      </c>
      <c r="O105" s="32">
        <f t="shared" si="43"/>
        <v>6000</v>
      </c>
      <c r="P105" s="32">
        <f t="shared" si="43"/>
        <v>6000</v>
      </c>
      <c r="Q105" s="32">
        <f t="shared" si="43"/>
        <v>6000</v>
      </c>
      <c r="R105" s="32">
        <f t="shared" si="43"/>
        <v>6000</v>
      </c>
      <c r="S105" s="32">
        <f t="shared" si="43"/>
        <v>6000</v>
      </c>
      <c r="U105" s="32">
        <f t="shared" ref="U105:AC105" si="44">$K$77</f>
        <v>6000</v>
      </c>
      <c r="V105" s="32">
        <f t="shared" si="44"/>
        <v>6000</v>
      </c>
      <c r="W105" s="32">
        <f t="shared" si="44"/>
        <v>6000</v>
      </c>
      <c r="X105" s="32">
        <f t="shared" si="44"/>
        <v>6000</v>
      </c>
      <c r="Y105" s="32">
        <f t="shared" si="44"/>
        <v>6000</v>
      </c>
      <c r="Z105" s="32">
        <f t="shared" si="44"/>
        <v>6000</v>
      </c>
      <c r="AA105" s="32">
        <f t="shared" si="44"/>
        <v>6000</v>
      </c>
      <c r="AB105" s="32">
        <f t="shared" si="44"/>
        <v>6000</v>
      </c>
      <c r="AC105" s="93">
        <f t="shared" si="44"/>
        <v>6000</v>
      </c>
    </row>
    <row r="106" spans="1:29" ht="14.25" customHeight="1">
      <c r="A106" s="92" t="s">
        <v>169</v>
      </c>
      <c r="C106" s="88">
        <f>C104-C101</f>
        <v>-33105.1</v>
      </c>
      <c r="D106" s="88">
        <f t="shared" ref="D106:S106" si="45">D105-D100</f>
        <v>5800</v>
      </c>
      <c r="E106" s="88">
        <f t="shared" si="45"/>
        <v>5794</v>
      </c>
      <c r="F106" s="88">
        <f t="shared" si="45"/>
        <v>5787.82</v>
      </c>
      <c r="G106" s="88">
        <f t="shared" si="45"/>
        <v>5781.4546</v>
      </c>
      <c r="H106" s="88">
        <f t="shared" si="45"/>
        <v>-8773.9913944649979</v>
      </c>
      <c r="I106" s="88">
        <f t="shared" si="45"/>
        <v>5768.1451851399997</v>
      </c>
      <c r="J106" s="88">
        <f t="shared" si="45"/>
        <v>5761.1895406942003</v>
      </c>
      <c r="K106" s="88">
        <f t="shared" si="45"/>
        <v>5754.025226915026</v>
      </c>
      <c r="L106" s="88">
        <f t="shared" si="45"/>
        <v>5746.6459837224766</v>
      </c>
      <c r="M106" s="88">
        <f t="shared" si="45"/>
        <v>-11127.105197534576</v>
      </c>
      <c r="N106" s="88">
        <f t="shared" si="45"/>
        <v>5731.2167241311754</v>
      </c>
      <c r="O106" s="88">
        <f t="shared" si="45"/>
        <v>5723.1532258551106</v>
      </c>
      <c r="P106" s="88">
        <f t="shared" si="45"/>
        <v>5714.8478226307643</v>
      </c>
      <c r="Q106" s="88">
        <f t="shared" si="45"/>
        <v>5706.2932573096869</v>
      </c>
      <c r="R106" s="88">
        <f t="shared" si="45"/>
        <v>-17749.927564812529</v>
      </c>
      <c r="S106" s="88">
        <f t="shared" si="45"/>
        <v>5688.4065166798473</v>
      </c>
      <c r="T106" s="88"/>
      <c r="U106" s="88">
        <f t="shared" ref="U106:AC106" si="46">U105-U100</f>
        <v>5679.0587121802428</v>
      </c>
      <c r="V106" s="88">
        <f t="shared" si="46"/>
        <v>5669.4304735456499</v>
      </c>
      <c r="W106" s="88">
        <f t="shared" si="46"/>
        <v>5659.5133877520193</v>
      </c>
      <c r="X106" s="88">
        <f t="shared" si="46"/>
        <v>-17017.397205716559</v>
      </c>
      <c r="Y106" s="88">
        <f t="shared" si="46"/>
        <v>5638.7777530661169</v>
      </c>
      <c r="Z106" s="88">
        <f t="shared" si="46"/>
        <v>5627.9410856581007</v>
      </c>
      <c r="AA106" s="88">
        <f t="shared" si="46"/>
        <v>5616.7793182278438</v>
      </c>
      <c r="AB106" s="88">
        <f t="shared" si="46"/>
        <v>5605.282697774679</v>
      </c>
      <c r="AC106" s="94">
        <f t="shared" si="46"/>
        <v>-41736.618298918547</v>
      </c>
    </row>
    <row r="107" spans="1:29" ht="14.25" customHeight="1">
      <c r="A107" s="92" t="s">
        <v>170</v>
      </c>
      <c r="C107" s="88">
        <f>C106</f>
        <v>-33105.1</v>
      </c>
      <c r="D107" s="88">
        <f t="shared" ref="D107:S107" si="47">C107+D106</f>
        <v>-27305.1</v>
      </c>
      <c r="E107" s="88">
        <f t="shared" si="47"/>
        <v>-21511.1</v>
      </c>
      <c r="F107" s="88">
        <f t="shared" si="47"/>
        <v>-15723.279999999999</v>
      </c>
      <c r="G107" s="88">
        <f t="shared" si="47"/>
        <v>-9941.8253999999979</v>
      </c>
      <c r="H107" s="88">
        <f t="shared" si="47"/>
        <v>-18715.816794464998</v>
      </c>
      <c r="I107" s="88">
        <f t="shared" si="47"/>
        <v>-12947.671609324998</v>
      </c>
      <c r="J107" s="88">
        <f t="shared" si="47"/>
        <v>-7186.4820686307976</v>
      </c>
      <c r="K107" s="88">
        <f t="shared" si="47"/>
        <v>-1432.4568417157716</v>
      </c>
      <c r="L107" s="88">
        <f t="shared" si="47"/>
        <v>4314.189142006705</v>
      </c>
      <c r="M107" s="88">
        <f t="shared" si="47"/>
        <v>-6812.9160555278713</v>
      </c>
      <c r="N107" s="88">
        <f t="shared" si="47"/>
        <v>-1081.6993313966959</v>
      </c>
      <c r="O107" s="88">
        <f t="shared" si="47"/>
        <v>4641.4538944584147</v>
      </c>
      <c r="P107" s="88">
        <f t="shared" si="47"/>
        <v>10356.30171708918</v>
      </c>
      <c r="Q107" s="88">
        <f t="shared" si="47"/>
        <v>16062.594974398868</v>
      </c>
      <c r="R107" s="88">
        <f t="shared" si="47"/>
        <v>-1687.3325904136618</v>
      </c>
      <c r="S107" s="88">
        <f t="shared" si="47"/>
        <v>4001.0739262661855</v>
      </c>
      <c r="T107" s="88"/>
      <c r="U107" s="88">
        <f>S107+U106</f>
        <v>9680.1326384464282</v>
      </c>
      <c r="V107" s="88">
        <f t="shared" ref="V107:AC107" si="48">U107+V106</f>
        <v>15349.563111992078</v>
      </c>
      <c r="W107" s="88">
        <f t="shared" si="48"/>
        <v>21009.076499744097</v>
      </c>
      <c r="X107" s="88">
        <f t="shared" si="48"/>
        <v>3991.6792940275373</v>
      </c>
      <c r="Y107" s="88">
        <f t="shared" si="48"/>
        <v>9630.4570470936542</v>
      </c>
      <c r="Z107" s="88">
        <f t="shared" si="48"/>
        <v>15258.398132751754</v>
      </c>
      <c r="AA107" s="88">
        <f t="shared" si="48"/>
        <v>20875.177450979598</v>
      </c>
      <c r="AB107" s="88">
        <f t="shared" si="48"/>
        <v>26480.460148754275</v>
      </c>
      <c r="AC107" s="94">
        <f t="shared" si="48"/>
        <v>-15256.158150164272</v>
      </c>
    </row>
    <row r="108" spans="1:29" ht="14.25" customHeight="1">
      <c r="A108" s="92"/>
      <c r="C108" s="32">
        <f t="shared" ref="C108:R108" si="49">C92+ABS(C107)/(ABS(C107)+ABS(D107))</f>
        <v>0.54800513820513752</v>
      </c>
      <c r="D108" s="32">
        <f t="shared" si="49"/>
        <v>1.5593450534863427</v>
      </c>
      <c r="E108" s="32">
        <f t="shared" si="49"/>
        <v>2.5777214499073171</v>
      </c>
      <c r="F108" s="32">
        <f t="shared" si="49"/>
        <v>3.6126325902405996</v>
      </c>
      <c r="G108" s="32">
        <f t="shared" si="49"/>
        <v>4.3469170747731711</v>
      </c>
      <c r="H108" s="32">
        <f t="shared" si="49"/>
        <v>5.5910851184743366</v>
      </c>
      <c r="I108" s="32">
        <f t="shared" si="49"/>
        <v>6.6430700697144758</v>
      </c>
      <c r="J108" s="32">
        <f t="shared" si="49"/>
        <v>7.8338012536559241</v>
      </c>
      <c r="K108" s="32">
        <f t="shared" si="49"/>
        <v>8.2492683289997757</v>
      </c>
      <c r="L108" s="32">
        <f t="shared" si="49"/>
        <v>9.3877189138970838</v>
      </c>
      <c r="M108" s="32">
        <f t="shared" si="49"/>
        <v>10.862982643437164</v>
      </c>
      <c r="N108" s="32">
        <f t="shared" si="49"/>
        <v>11.189004083712101</v>
      </c>
      <c r="O108" s="32">
        <f t="shared" si="49"/>
        <v>12.309476565339196</v>
      </c>
      <c r="P108" s="32">
        <f t="shared" si="49"/>
        <v>13.392003566160501</v>
      </c>
      <c r="Q108" s="32">
        <f t="shared" si="49"/>
        <v>14.904938621059015</v>
      </c>
      <c r="R108" s="32">
        <f t="shared" si="49"/>
        <v>15.296626583466912</v>
      </c>
      <c r="S108" s="32">
        <f>S92+ABS(S107)/(ABS(S107)+ABS(U107))</f>
        <v>16.292450370319383</v>
      </c>
      <c r="U108" s="32">
        <f t="shared" ref="U108:AC108" si="50">U92+ABS(U107)/(ABS(U107)+ABS(V107))</f>
        <v>17.38674591712833</v>
      </c>
      <c r="V108" s="32">
        <f t="shared" si="50"/>
        <v>18.422170996382313</v>
      </c>
      <c r="W108" s="32">
        <f t="shared" si="50"/>
        <v>19.840337655111131</v>
      </c>
      <c r="X108" s="32">
        <f t="shared" si="50"/>
        <v>20.293028875505954</v>
      </c>
      <c r="Y108" s="32">
        <f t="shared" si="50"/>
        <v>21.386938530418718</v>
      </c>
      <c r="Z108" s="32">
        <f t="shared" si="50"/>
        <v>22.422277560032605</v>
      </c>
      <c r="AA108" s="32">
        <f t="shared" si="50"/>
        <v>23.440817155233422</v>
      </c>
      <c r="AB108" s="32">
        <f t="shared" si="50"/>
        <v>24.634465877400526</v>
      </c>
      <c r="AC108" s="32">
        <f t="shared" si="50"/>
        <v>26</v>
      </c>
    </row>
    <row r="109" spans="1:29" ht="14.25" customHeight="1">
      <c r="A109" s="97" t="s">
        <v>171</v>
      </c>
      <c r="B109" s="88">
        <f>SUM(C94:C98)</f>
        <v>33105.1</v>
      </c>
      <c r="C109" s="32" t="str">
        <f>E74</f>
        <v>$</v>
      </c>
      <c r="AC109" s="93"/>
    </row>
    <row r="110" spans="1:29" ht="14.25" customHeight="1">
      <c r="A110" s="97" t="s">
        <v>172</v>
      </c>
      <c r="B110" s="72">
        <f>ROUND(IF(X107&lt;0,25,HLOOKUP(1,D91:AC108,18,FALSE)),1)</f>
        <v>8.1999999999999993</v>
      </c>
      <c r="C110" s="32" t="s">
        <v>146</v>
      </c>
      <c r="AC110" s="93"/>
    </row>
    <row r="111" spans="1:29" ht="14.25" customHeight="1">
      <c r="A111" s="97" t="s">
        <v>173</v>
      </c>
      <c r="B111" s="98">
        <f t="array" ref="B111">C106+NPV((E85/100),D106:X106)</f>
        <v>-3100.0280029908572</v>
      </c>
      <c r="C111" s="32" t="str">
        <f>E74</f>
        <v>$</v>
      </c>
      <c r="AC111" s="93"/>
    </row>
    <row r="112" spans="1:29" ht="14.25" customHeight="1">
      <c r="A112" s="99" t="s">
        <v>174</v>
      </c>
      <c r="B112" s="100">
        <f>IRR(C106:X106)</f>
        <v>2.6993635040326591E-2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96"/>
    </row>
    <row r="113" spans="1:32" ht="14.25" customHeight="1"/>
    <row r="114" spans="1:32" ht="14.25" customHeight="1"/>
    <row r="115" spans="1:32" ht="14.25" customHeight="1"/>
    <row r="116" spans="1:32" ht="14.25" customHeight="1"/>
    <row r="117" spans="1:32" ht="14.25" customHeight="1">
      <c r="B117" s="31" t="s">
        <v>175</v>
      </c>
    </row>
    <row r="118" spans="1:32" ht="14.25" customHeight="1"/>
    <row r="119" spans="1:32" ht="14.25" customHeight="1">
      <c r="D119" s="32">
        <f t="shared" ref="D119:R119" si="51">IF(E133&lt;0,0,1)</f>
        <v>1</v>
      </c>
      <c r="E119" s="32">
        <f t="shared" si="51"/>
        <v>1</v>
      </c>
      <c r="F119" s="32">
        <f t="shared" si="51"/>
        <v>1</v>
      </c>
      <c r="G119" s="32">
        <f t="shared" si="51"/>
        <v>1</v>
      </c>
      <c r="H119" s="32">
        <f t="shared" si="51"/>
        <v>1</v>
      </c>
      <c r="I119" s="32">
        <f t="shared" si="51"/>
        <v>1</v>
      </c>
      <c r="J119" s="32">
        <f t="shared" si="51"/>
        <v>1</v>
      </c>
      <c r="K119" s="32">
        <f t="shared" si="51"/>
        <v>1</v>
      </c>
      <c r="L119" s="32">
        <f t="shared" si="51"/>
        <v>1</v>
      </c>
      <c r="M119" s="32">
        <f t="shared" si="51"/>
        <v>1</v>
      </c>
      <c r="N119" s="32">
        <f t="shared" si="51"/>
        <v>1</v>
      </c>
      <c r="O119" s="32">
        <f t="shared" si="51"/>
        <v>1</v>
      </c>
      <c r="P119" s="32">
        <f t="shared" si="51"/>
        <v>1</v>
      </c>
      <c r="Q119" s="32">
        <f t="shared" si="51"/>
        <v>1</v>
      </c>
      <c r="R119" s="32">
        <f t="shared" si="51"/>
        <v>1</v>
      </c>
      <c r="S119" s="32">
        <f>IF(U133&lt;0,0,1)</f>
        <v>1</v>
      </c>
      <c r="U119" s="32">
        <f t="shared" ref="U119:AC119" si="52">IF(V133&lt;0,0,1)</f>
        <v>1</v>
      </c>
      <c r="V119" s="32">
        <f t="shared" si="52"/>
        <v>1</v>
      </c>
      <c r="W119" s="32">
        <f t="shared" si="52"/>
        <v>1</v>
      </c>
      <c r="X119" s="32">
        <f t="shared" si="52"/>
        <v>1</v>
      </c>
      <c r="Y119" s="32">
        <f t="shared" si="52"/>
        <v>1</v>
      </c>
      <c r="Z119" s="32">
        <f t="shared" si="52"/>
        <v>1</v>
      </c>
      <c r="AA119" s="32">
        <f t="shared" si="52"/>
        <v>1</v>
      </c>
      <c r="AB119" s="32">
        <f t="shared" si="52"/>
        <v>1</v>
      </c>
      <c r="AC119" s="32">
        <f t="shared" si="52"/>
        <v>1</v>
      </c>
    </row>
    <row r="120" spans="1:32" ht="14.25" customHeight="1">
      <c r="A120" s="89"/>
      <c r="B120" s="90" t="s">
        <v>158</v>
      </c>
      <c r="C120" s="90">
        <v>0</v>
      </c>
      <c r="D120" s="90">
        <v>1</v>
      </c>
      <c r="E120" s="90">
        <v>2</v>
      </c>
      <c r="F120" s="90">
        <v>3</v>
      </c>
      <c r="G120" s="90">
        <v>4</v>
      </c>
      <c r="H120" s="90">
        <v>5</v>
      </c>
      <c r="I120" s="90">
        <v>6</v>
      </c>
      <c r="J120" s="90">
        <v>7</v>
      </c>
      <c r="K120" s="90">
        <v>8</v>
      </c>
      <c r="L120" s="90">
        <v>9</v>
      </c>
      <c r="M120" s="90">
        <v>10</v>
      </c>
      <c r="N120" s="90">
        <v>11</v>
      </c>
      <c r="O120" s="90">
        <v>12</v>
      </c>
      <c r="P120" s="90">
        <v>13</v>
      </c>
      <c r="Q120" s="90">
        <v>14</v>
      </c>
      <c r="R120" s="90">
        <v>15</v>
      </c>
      <c r="S120" s="90">
        <v>16</v>
      </c>
      <c r="T120" s="90"/>
      <c r="U120" s="90">
        <v>17</v>
      </c>
      <c r="V120" s="90">
        <v>18</v>
      </c>
      <c r="W120" s="90">
        <v>19</v>
      </c>
      <c r="X120" s="90">
        <v>20</v>
      </c>
      <c r="Y120" s="90">
        <v>21</v>
      </c>
      <c r="Z120" s="90">
        <v>22</v>
      </c>
      <c r="AA120" s="90">
        <v>23</v>
      </c>
      <c r="AB120" s="90">
        <v>24</v>
      </c>
      <c r="AC120" s="91">
        <v>25</v>
      </c>
    </row>
    <row r="121" spans="1:32" ht="14.25" customHeight="1">
      <c r="A121" s="92"/>
      <c r="AC121" s="93"/>
      <c r="AF121" s="31" t="s">
        <v>176</v>
      </c>
    </row>
    <row r="122" spans="1:32" ht="14.25" customHeight="1">
      <c r="A122" s="92" t="s">
        <v>159</v>
      </c>
      <c r="C122" s="88">
        <f>V75</f>
        <v>0</v>
      </c>
      <c r="D122" s="88">
        <f t="shared" ref="D122:S122" si="53">IF(MOD(D120,$V$76)=0,$C$122*(1+($E$86/100))^D120,0)</f>
        <v>0</v>
      </c>
      <c r="E122" s="88">
        <f t="shared" si="53"/>
        <v>0</v>
      </c>
      <c r="F122" s="88">
        <f t="shared" si="53"/>
        <v>0</v>
      </c>
      <c r="G122" s="88">
        <f t="shared" si="53"/>
        <v>0</v>
      </c>
      <c r="H122" s="88">
        <f t="shared" si="53"/>
        <v>0</v>
      </c>
      <c r="I122" s="88">
        <f t="shared" si="53"/>
        <v>0</v>
      </c>
      <c r="J122" s="88">
        <f t="shared" si="53"/>
        <v>0</v>
      </c>
      <c r="K122" s="88">
        <f t="shared" si="53"/>
        <v>0</v>
      </c>
      <c r="L122" s="88">
        <f t="shared" si="53"/>
        <v>0</v>
      </c>
      <c r="M122" s="88">
        <f t="shared" si="53"/>
        <v>0</v>
      </c>
      <c r="N122" s="88">
        <f t="shared" si="53"/>
        <v>0</v>
      </c>
      <c r="O122" s="88">
        <f t="shared" si="53"/>
        <v>0</v>
      </c>
      <c r="P122" s="88">
        <f t="shared" si="53"/>
        <v>0</v>
      </c>
      <c r="Q122" s="88">
        <f t="shared" si="53"/>
        <v>0</v>
      </c>
      <c r="R122" s="88">
        <f t="shared" si="53"/>
        <v>0</v>
      </c>
      <c r="S122" s="88">
        <f t="shared" si="53"/>
        <v>0</v>
      </c>
      <c r="T122" s="88"/>
      <c r="U122" s="88">
        <f t="shared" ref="U122:AC122" si="54">IF(MOD(U120,$V$76)=0,$C$122*(1+($E$86/100))^U120,0)</f>
        <v>0</v>
      </c>
      <c r="V122" s="88">
        <f t="shared" si="54"/>
        <v>0</v>
      </c>
      <c r="W122" s="88">
        <f t="shared" si="54"/>
        <v>0</v>
      </c>
      <c r="X122" s="88">
        <f t="shared" si="54"/>
        <v>0</v>
      </c>
      <c r="Y122" s="88">
        <f t="shared" si="54"/>
        <v>0</v>
      </c>
      <c r="Z122" s="88">
        <f t="shared" si="54"/>
        <v>0</v>
      </c>
      <c r="AA122" s="88">
        <f t="shared" si="54"/>
        <v>0</v>
      </c>
      <c r="AB122" s="88">
        <f t="shared" si="54"/>
        <v>0</v>
      </c>
      <c r="AC122" s="94">
        <f t="shared" si="54"/>
        <v>0</v>
      </c>
    </row>
    <row r="123" spans="1:32" ht="14.25" customHeight="1">
      <c r="A123" s="92" t="s">
        <v>161</v>
      </c>
      <c r="C123" s="88">
        <f>V79</f>
        <v>2500</v>
      </c>
      <c r="D123" s="88">
        <f t="shared" ref="D123:S123" si="55">IF(MOD(D120,$V$80)=0,$C$123*(1+($E$86/100))^D120,0)</f>
        <v>0</v>
      </c>
      <c r="E123" s="88">
        <f t="shared" si="55"/>
        <v>0</v>
      </c>
      <c r="F123" s="88">
        <f t="shared" si="55"/>
        <v>0</v>
      </c>
      <c r="G123" s="88">
        <f t="shared" si="55"/>
        <v>0</v>
      </c>
      <c r="H123" s="88">
        <f t="shared" si="55"/>
        <v>0</v>
      </c>
      <c r="I123" s="88">
        <f t="shared" si="55"/>
        <v>0</v>
      </c>
      <c r="J123" s="88">
        <f t="shared" si="55"/>
        <v>0</v>
      </c>
      <c r="K123" s="88">
        <f t="shared" si="55"/>
        <v>0</v>
      </c>
      <c r="L123" s="88">
        <f t="shared" si="55"/>
        <v>0</v>
      </c>
      <c r="M123" s="88">
        <f t="shared" si="55"/>
        <v>0</v>
      </c>
      <c r="N123" s="88">
        <f t="shared" si="55"/>
        <v>0</v>
      </c>
      <c r="O123" s="88">
        <f t="shared" si="55"/>
        <v>0</v>
      </c>
      <c r="P123" s="88">
        <f t="shared" si="55"/>
        <v>0</v>
      </c>
      <c r="Q123" s="88">
        <f t="shared" si="55"/>
        <v>0</v>
      </c>
      <c r="R123" s="88">
        <f t="shared" si="55"/>
        <v>3894.918541501911</v>
      </c>
      <c r="S123" s="88">
        <f t="shared" si="55"/>
        <v>0</v>
      </c>
      <c r="T123" s="88"/>
      <c r="U123" s="88">
        <f t="shared" ref="U123:AC123" si="56">IF(MOD(U120,$V$80)=0,$C$123*(1+($E$86/100))^U120,0)</f>
        <v>0</v>
      </c>
      <c r="V123" s="88">
        <f t="shared" si="56"/>
        <v>0</v>
      </c>
      <c r="W123" s="88">
        <f t="shared" si="56"/>
        <v>0</v>
      </c>
      <c r="X123" s="88">
        <f t="shared" si="56"/>
        <v>0</v>
      </c>
      <c r="Y123" s="88">
        <f t="shared" si="56"/>
        <v>0</v>
      </c>
      <c r="Z123" s="88">
        <f t="shared" si="56"/>
        <v>0</v>
      </c>
      <c r="AA123" s="88">
        <f t="shared" si="56"/>
        <v>0</v>
      </c>
      <c r="AB123" s="88">
        <f t="shared" si="56"/>
        <v>0</v>
      </c>
      <c r="AC123" s="94">
        <f t="shared" si="56"/>
        <v>0</v>
      </c>
      <c r="AF123" s="32" t="str">
        <f>Translation!B140</f>
        <v>Accumulated income</v>
      </c>
    </row>
    <row r="124" spans="1:32" ht="14.25" customHeight="1">
      <c r="A124" s="92" t="s">
        <v>162</v>
      </c>
      <c r="C124" s="88">
        <f>V81</f>
        <v>8000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/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94">
        <v>0</v>
      </c>
      <c r="AF124" s="32" t="str">
        <f>IF(H89="Yes",Translation!B142,"")</f>
        <v>Accumulated system costs</v>
      </c>
    </row>
    <row r="125" spans="1:32" ht="14.25" customHeight="1">
      <c r="A125" s="92" t="s">
        <v>163</v>
      </c>
      <c r="C125" s="32">
        <v>0</v>
      </c>
      <c r="D125" s="88">
        <f>V82</f>
        <v>200</v>
      </c>
      <c r="E125" s="88">
        <f t="shared" ref="E125:S125" si="57">$D$125*(1+($E$86/100))^(E120-1)</f>
        <v>206</v>
      </c>
      <c r="F125" s="88">
        <f t="shared" si="57"/>
        <v>212.17999999999998</v>
      </c>
      <c r="G125" s="88">
        <f t="shared" si="57"/>
        <v>218.5454</v>
      </c>
      <c r="H125" s="88">
        <f t="shared" si="57"/>
        <v>225.10176199999998</v>
      </c>
      <c r="I125" s="88">
        <f t="shared" si="57"/>
        <v>231.85481485999998</v>
      </c>
      <c r="J125" s="88">
        <f t="shared" si="57"/>
        <v>238.81045930579998</v>
      </c>
      <c r="K125" s="88">
        <f t="shared" si="57"/>
        <v>245.974773084974</v>
      </c>
      <c r="L125" s="88">
        <f t="shared" si="57"/>
        <v>253.35401627752319</v>
      </c>
      <c r="M125" s="88">
        <f t="shared" si="57"/>
        <v>260.95463676584887</v>
      </c>
      <c r="N125" s="88">
        <f t="shared" si="57"/>
        <v>268.78327586882438</v>
      </c>
      <c r="O125" s="88">
        <f t="shared" si="57"/>
        <v>276.84677414488908</v>
      </c>
      <c r="P125" s="88">
        <f t="shared" si="57"/>
        <v>285.15217736923574</v>
      </c>
      <c r="Q125" s="88">
        <f t="shared" si="57"/>
        <v>293.70674269031281</v>
      </c>
      <c r="R125" s="88">
        <f t="shared" si="57"/>
        <v>302.51794497102219</v>
      </c>
      <c r="S125" s="88">
        <f t="shared" si="57"/>
        <v>311.59348332015287</v>
      </c>
      <c r="T125" s="88"/>
      <c r="U125" s="88">
        <f t="shared" ref="U125:AC125" si="58">$D$125*(1+($E$86/100))^(U120-1)</f>
        <v>320.94128781975741</v>
      </c>
      <c r="V125" s="88">
        <f t="shared" si="58"/>
        <v>330.56952645435013</v>
      </c>
      <c r="W125" s="88">
        <f t="shared" si="58"/>
        <v>340.48661224798064</v>
      </c>
      <c r="X125" s="88">
        <f t="shared" si="58"/>
        <v>350.70121061542005</v>
      </c>
      <c r="Y125" s="88">
        <f t="shared" si="58"/>
        <v>361.22224693388267</v>
      </c>
      <c r="Z125" s="88">
        <f t="shared" si="58"/>
        <v>372.05891434189908</v>
      </c>
      <c r="AA125" s="88">
        <f t="shared" si="58"/>
        <v>383.22068177215607</v>
      </c>
      <c r="AB125" s="88">
        <f t="shared" si="58"/>
        <v>394.71730222532079</v>
      </c>
      <c r="AC125" s="94">
        <f t="shared" si="58"/>
        <v>406.55882129208038</v>
      </c>
      <c r="AF125" s="32" t="str">
        <f>Translation!B141</f>
        <v>Accumulated system costs without batteries</v>
      </c>
    </row>
    <row r="126" spans="1:32" ht="14.25" customHeight="1">
      <c r="A126" s="95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96"/>
    </row>
    <row r="127" spans="1:32" ht="14.25" customHeight="1">
      <c r="A127" s="92" t="s">
        <v>164</v>
      </c>
      <c r="C127" s="88">
        <f t="shared" ref="C127:S127" si="59">SUM(C122:C126)</f>
        <v>10500</v>
      </c>
      <c r="D127" s="88">
        <f t="shared" si="59"/>
        <v>200</v>
      </c>
      <c r="E127" s="88">
        <f t="shared" si="59"/>
        <v>206</v>
      </c>
      <c r="F127" s="88">
        <f t="shared" si="59"/>
        <v>212.17999999999998</v>
      </c>
      <c r="G127" s="88">
        <f t="shared" si="59"/>
        <v>218.5454</v>
      </c>
      <c r="H127" s="88">
        <f t="shared" si="59"/>
        <v>225.10176199999998</v>
      </c>
      <c r="I127" s="88">
        <f t="shared" si="59"/>
        <v>231.85481485999998</v>
      </c>
      <c r="J127" s="88">
        <f t="shared" si="59"/>
        <v>238.81045930579998</v>
      </c>
      <c r="K127" s="88">
        <f t="shared" si="59"/>
        <v>245.974773084974</v>
      </c>
      <c r="L127" s="88">
        <f t="shared" si="59"/>
        <v>253.35401627752319</v>
      </c>
      <c r="M127" s="88">
        <f t="shared" si="59"/>
        <v>260.95463676584887</v>
      </c>
      <c r="N127" s="88">
        <f t="shared" si="59"/>
        <v>268.78327586882438</v>
      </c>
      <c r="O127" s="88">
        <f t="shared" si="59"/>
        <v>276.84677414488908</v>
      </c>
      <c r="P127" s="88">
        <f t="shared" si="59"/>
        <v>285.15217736923574</v>
      </c>
      <c r="Q127" s="88">
        <f t="shared" si="59"/>
        <v>293.70674269031281</v>
      </c>
      <c r="R127" s="88">
        <f t="shared" si="59"/>
        <v>4197.4364864729332</v>
      </c>
      <c r="S127" s="88">
        <f t="shared" si="59"/>
        <v>311.59348332015287</v>
      </c>
      <c r="T127" s="88"/>
      <c r="U127" s="88">
        <f t="shared" ref="U127:AC127" si="60">SUM(U122:U126)</f>
        <v>320.94128781975741</v>
      </c>
      <c r="V127" s="88">
        <f t="shared" si="60"/>
        <v>330.56952645435013</v>
      </c>
      <c r="W127" s="88">
        <f t="shared" si="60"/>
        <v>340.48661224798064</v>
      </c>
      <c r="X127" s="88">
        <f t="shared" si="60"/>
        <v>350.70121061542005</v>
      </c>
      <c r="Y127" s="88">
        <f t="shared" si="60"/>
        <v>361.22224693388267</v>
      </c>
      <c r="Z127" s="88">
        <f t="shared" si="60"/>
        <v>372.05891434189908</v>
      </c>
      <c r="AA127" s="88">
        <f t="shared" si="60"/>
        <v>383.22068177215607</v>
      </c>
      <c r="AB127" s="88">
        <f t="shared" si="60"/>
        <v>394.71730222532079</v>
      </c>
      <c r="AC127" s="94">
        <f t="shared" si="60"/>
        <v>406.55882129208038</v>
      </c>
    </row>
    <row r="128" spans="1:32" ht="14.25" customHeight="1">
      <c r="A128" s="92" t="s">
        <v>165</v>
      </c>
      <c r="C128" s="88">
        <f>C127</f>
        <v>10500</v>
      </c>
      <c r="D128" s="88">
        <f t="shared" ref="D128:S128" si="61">SUM($C$127:D127)</f>
        <v>10700</v>
      </c>
      <c r="E128" s="88">
        <f t="shared" si="61"/>
        <v>10906</v>
      </c>
      <c r="F128" s="88">
        <f t="shared" si="61"/>
        <v>11118.18</v>
      </c>
      <c r="G128" s="88">
        <f t="shared" si="61"/>
        <v>11336.725400000001</v>
      </c>
      <c r="H128" s="88">
        <f t="shared" si="61"/>
        <v>11561.827162000001</v>
      </c>
      <c r="I128" s="88">
        <f t="shared" si="61"/>
        <v>11793.681976860002</v>
      </c>
      <c r="J128" s="88">
        <f t="shared" si="61"/>
        <v>12032.492436165801</v>
      </c>
      <c r="K128" s="88">
        <f t="shared" si="61"/>
        <v>12278.467209250775</v>
      </c>
      <c r="L128" s="88">
        <f t="shared" si="61"/>
        <v>12531.821225528298</v>
      </c>
      <c r="M128" s="88">
        <f t="shared" si="61"/>
        <v>12792.775862294147</v>
      </c>
      <c r="N128" s="88">
        <f t="shared" si="61"/>
        <v>13061.559138162971</v>
      </c>
      <c r="O128" s="88">
        <f t="shared" si="61"/>
        <v>13338.40591230786</v>
      </c>
      <c r="P128" s="88">
        <f t="shared" si="61"/>
        <v>13623.558089677097</v>
      </c>
      <c r="Q128" s="88">
        <f t="shared" si="61"/>
        <v>13917.264832367409</v>
      </c>
      <c r="R128" s="88">
        <f t="shared" si="61"/>
        <v>18114.701318840343</v>
      </c>
      <c r="S128" s="88">
        <f t="shared" si="61"/>
        <v>18426.294802160497</v>
      </c>
      <c r="T128" s="88"/>
      <c r="U128" s="88">
        <f t="shared" ref="U128:AC128" si="62">SUM($C$127:U127)</f>
        <v>18747.236089980255</v>
      </c>
      <c r="V128" s="88">
        <f t="shared" si="62"/>
        <v>19077.805616434605</v>
      </c>
      <c r="W128" s="88">
        <f t="shared" si="62"/>
        <v>19418.292228682585</v>
      </c>
      <c r="X128" s="88">
        <f t="shared" si="62"/>
        <v>19768.993439298007</v>
      </c>
      <c r="Y128" s="88">
        <f t="shared" si="62"/>
        <v>20130.215686231888</v>
      </c>
      <c r="Z128" s="88">
        <f t="shared" si="62"/>
        <v>20502.274600573786</v>
      </c>
      <c r="AA128" s="88">
        <f t="shared" si="62"/>
        <v>20885.495282345943</v>
      </c>
      <c r="AB128" s="88">
        <f t="shared" si="62"/>
        <v>21280.212584571262</v>
      </c>
      <c r="AC128" s="94">
        <f t="shared" si="62"/>
        <v>21686.771405863343</v>
      </c>
    </row>
    <row r="129" spans="1:29" ht="14.25" customHeight="1">
      <c r="A129" s="92"/>
      <c r="F129" s="88"/>
      <c r="AC129" s="93"/>
    </row>
    <row r="130" spans="1:29" ht="14.25" customHeight="1">
      <c r="A130" s="95" t="s">
        <v>177</v>
      </c>
      <c r="B130" s="87"/>
      <c r="C130" s="87">
        <v>0</v>
      </c>
      <c r="D130" s="87">
        <f>K77</f>
        <v>6000</v>
      </c>
      <c r="E130" s="87">
        <f t="shared" ref="E130:S130" si="63">$K$77+D130</f>
        <v>12000</v>
      </c>
      <c r="F130" s="87">
        <f t="shared" si="63"/>
        <v>18000</v>
      </c>
      <c r="G130" s="87">
        <f t="shared" si="63"/>
        <v>24000</v>
      </c>
      <c r="H130" s="87">
        <f t="shared" si="63"/>
        <v>30000</v>
      </c>
      <c r="I130" s="87">
        <f t="shared" si="63"/>
        <v>36000</v>
      </c>
      <c r="J130" s="87">
        <f t="shared" si="63"/>
        <v>42000</v>
      </c>
      <c r="K130" s="87">
        <f t="shared" si="63"/>
        <v>48000</v>
      </c>
      <c r="L130" s="87">
        <f t="shared" si="63"/>
        <v>54000</v>
      </c>
      <c r="M130" s="87">
        <f t="shared" si="63"/>
        <v>60000</v>
      </c>
      <c r="N130" s="87">
        <f t="shared" si="63"/>
        <v>66000</v>
      </c>
      <c r="O130" s="87">
        <f t="shared" si="63"/>
        <v>72000</v>
      </c>
      <c r="P130" s="87">
        <f t="shared" si="63"/>
        <v>78000</v>
      </c>
      <c r="Q130" s="87">
        <f t="shared" si="63"/>
        <v>84000</v>
      </c>
      <c r="R130" s="87">
        <f t="shared" si="63"/>
        <v>90000</v>
      </c>
      <c r="S130" s="87">
        <f t="shared" si="63"/>
        <v>96000</v>
      </c>
      <c r="T130" s="87"/>
      <c r="U130" s="87">
        <f>$K$77+S130</f>
        <v>102000</v>
      </c>
      <c r="V130" s="87">
        <f t="shared" ref="V130:AC130" si="64">$K$77+U130</f>
        <v>108000</v>
      </c>
      <c r="W130" s="87">
        <f t="shared" si="64"/>
        <v>114000</v>
      </c>
      <c r="X130" s="87">
        <f t="shared" si="64"/>
        <v>120000</v>
      </c>
      <c r="Y130" s="87">
        <f t="shared" si="64"/>
        <v>126000</v>
      </c>
      <c r="Z130" s="87">
        <f t="shared" si="64"/>
        <v>132000</v>
      </c>
      <c r="AA130" s="87">
        <f t="shared" si="64"/>
        <v>138000</v>
      </c>
      <c r="AB130" s="87">
        <f t="shared" si="64"/>
        <v>144000</v>
      </c>
      <c r="AC130" s="96">
        <f t="shared" si="64"/>
        <v>150000</v>
      </c>
    </row>
    <row r="131" spans="1:29" ht="14.25" customHeight="1">
      <c r="A131" s="92" t="s">
        <v>168</v>
      </c>
      <c r="D131" s="32">
        <f t="shared" ref="D131:S131" si="65">$K$77</f>
        <v>6000</v>
      </c>
      <c r="E131" s="32">
        <f t="shared" si="65"/>
        <v>6000</v>
      </c>
      <c r="F131" s="32">
        <f t="shared" si="65"/>
        <v>6000</v>
      </c>
      <c r="G131" s="32">
        <f t="shared" si="65"/>
        <v>6000</v>
      </c>
      <c r="H131" s="32">
        <f t="shared" si="65"/>
        <v>6000</v>
      </c>
      <c r="I131" s="32">
        <f t="shared" si="65"/>
        <v>6000</v>
      </c>
      <c r="J131" s="32">
        <f t="shared" si="65"/>
        <v>6000</v>
      </c>
      <c r="K131" s="32">
        <f t="shared" si="65"/>
        <v>6000</v>
      </c>
      <c r="L131" s="32">
        <f t="shared" si="65"/>
        <v>6000</v>
      </c>
      <c r="M131" s="32">
        <f t="shared" si="65"/>
        <v>6000</v>
      </c>
      <c r="N131" s="32">
        <f t="shared" si="65"/>
        <v>6000</v>
      </c>
      <c r="O131" s="32">
        <f t="shared" si="65"/>
        <v>6000</v>
      </c>
      <c r="P131" s="32">
        <f t="shared" si="65"/>
        <v>6000</v>
      </c>
      <c r="Q131" s="32">
        <f t="shared" si="65"/>
        <v>6000</v>
      </c>
      <c r="R131" s="32">
        <f t="shared" si="65"/>
        <v>6000</v>
      </c>
      <c r="S131" s="32">
        <f t="shared" si="65"/>
        <v>6000</v>
      </c>
      <c r="U131" s="32">
        <f t="shared" ref="U131:AC131" si="66">$K$77</f>
        <v>6000</v>
      </c>
      <c r="V131" s="32">
        <f t="shared" si="66"/>
        <v>6000</v>
      </c>
      <c r="W131" s="32">
        <f t="shared" si="66"/>
        <v>6000</v>
      </c>
      <c r="X131" s="32">
        <f t="shared" si="66"/>
        <v>6000</v>
      </c>
      <c r="Y131" s="32">
        <f t="shared" si="66"/>
        <v>6000</v>
      </c>
      <c r="Z131" s="32">
        <f t="shared" si="66"/>
        <v>6000</v>
      </c>
      <c r="AA131" s="32">
        <f t="shared" si="66"/>
        <v>6000</v>
      </c>
      <c r="AB131" s="32">
        <f t="shared" si="66"/>
        <v>6000</v>
      </c>
      <c r="AC131" s="93">
        <f t="shared" si="66"/>
        <v>6000</v>
      </c>
    </row>
    <row r="132" spans="1:29" ht="14.25" customHeight="1">
      <c r="A132" s="92" t="s">
        <v>169</v>
      </c>
      <c r="C132" s="88">
        <f>C130-C128</f>
        <v>-10500</v>
      </c>
      <c r="D132" s="88">
        <f t="shared" ref="D132:S132" si="67">D131-D127</f>
        <v>5800</v>
      </c>
      <c r="E132" s="88">
        <f t="shared" si="67"/>
        <v>5794</v>
      </c>
      <c r="F132" s="88">
        <f t="shared" si="67"/>
        <v>5787.82</v>
      </c>
      <c r="G132" s="88">
        <f t="shared" si="67"/>
        <v>5781.4546</v>
      </c>
      <c r="H132" s="88">
        <f t="shared" si="67"/>
        <v>5774.8982379999998</v>
      </c>
      <c r="I132" s="88">
        <f t="shared" si="67"/>
        <v>5768.1451851399997</v>
      </c>
      <c r="J132" s="88">
        <f t="shared" si="67"/>
        <v>5761.1895406942003</v>
      </c>
      <c r="K132" s="88">
        <f t="shared" si="67"/>
        <v>5754.025226915026</v>
      </c>
      <c r="L132" s="88">
        <f t="shared" si="67"/>
        <v>5746.6459837224766</v>
      </c>
      <c r="M132" s="88">
        <f t="shared" si="67"/>
        <v>5739.0453632341514</v>
      </c>
      <c r="N132" s="88">
        <f t="shared" si="67"/>
        <v>5731.2167241311754</v>
      </c>
      <c r="O132" s="88">
        <f t="shared" si="67"/>
        <v>5723.1532258551106</v>
      </c>
      <c r="P132" s="88">
        <f t="shared" si="67"/>
        <v>5714.8478226307643</v>
      </c>
      <c r="Q132" s="88">
        <f t="shared" si="67"/>
        <v>5706.2932573096869</v>
      </c>
      <c r="R132" s="88">
        <f t="shared" si="67"/>
        <v>1802.5635135270668</v>
      </c>
      <c r="S132" s="88">
        <f t="shared" si="67"/>
        <v>5688.4065166798473</v>
      </c>
      <c r="T132" s="88"/>
      <c r="U132" s="88">
        <f t="shared" ref="U132:AC132" si="68">U131-U127</f>
        <v>5679.0587121802428</v>
      </c>
      <c r="V132" s="88">
        <f t="shared" si="68"/>
        <v>5669.4304735456499</v>
      </c>
      <c r="W132" s="88">
        <f t="shared" si="68"/>
        <v>5659.5133877520193</v>
      </c>
      <c r="X132" s="88">
        <f t="shared" si="68"/>
        <v>5649.2987893845802</v>
      </c>
      <c r="Y132" s="88">
        <f t="shared" si="68"/>
        <v>5638.7777530661169</v>
      </c>
      <c r="Z132" s="88">
        <f t="shared" si="68"/>
        <v>5627.9410856581007</v>
      </c>
      <c r="AA132" s="88">
        <f t="shared" si="68"/>
        <v>5616.7793182278438</v>
      </c>
      <c r="AB132" s="88">
        <f t="shared" si="68"/>
        <v>5605.282697774679</v>
      </c>
      <c r="AC132" s="94">
        <f t="shared" si="68"/>
        <v>5593.4411787079198</v>
      </c>
    </row>
    <row r="133" spans="1:29" ht="14.25" customHeight="1">
      <c r="A133" s="92" t="s">
        <v>170</v>
      </c>
      <c r="C133" s="88">
        <f>C132</f>
        <v>-10500</v>
      </c>
      <c r="D133" s="88">
        <f t="shared" ref="D133:S133" si="69">C133+D132</f>
        <v>-4700</v>
      </c>
      <c r="E133" s="88">
        <f t="shared" si="69"/>
        <v>1094</v>
      </c>
      <c r="F133" s="88">
        <f t="shared" si="69"/>
        <v>6881.82</v>
      </c>
      <c r="G133" s="88">
        <f t="shared" si="69"/>
        <v>12663.274600000001</v>
      </c>
      <c r="H133" s="88">
        <f t="shared" si="69"/>
        <v>18438.172837999999</v>
      </c>
      <c r="I133" s="88">
        <f t="shared" si="69"/>
        <v>24206.318023139997</v>
      </c>
      <c r="J133" s="88">
        <f t="shared" si="69"/>
        <v>29967.507563834195</v>
      </c>
      <c r="K133" s="88">
        <f t="shared" si="69"/>
        <v>35721.532790749217</v>
      </c>
      <c r="L133" s="88">
        <f t="shared" si="69"/>
        <v>41468.178774471693</v>
      </c>
      <c r="M133" s="88">
        <f t="shared" si="69"/>
        <v>47207.224137705845</v>
      </c>
      <c r="N133" s="88">
        <f t="shared" si="69"/>
        <v>52938.440861837022</v>
      </c>
      <c r="O133" s="88">
        <f t="shared" si="69"/>
        <v>58661.59408769213</v>
      </c>
      <c r="P133" s="88">
        <f t="shared" si="69"/>
        <v>64376.441910322894</v>
      </c>
      <c r="Q133" s="88">
        <f t="shared" si="69"/>
        <v>70082.735167632578</v>
      </c>
      <c r="R133" s="88">
        <f t="shared" si="69"/>
        <v>71885.298681159649</v>
      </c>
      <c r="S133" s="88">
        <f t="shared" si="69"/>
        <v>77573.705197839503</v>
      </c>
      <c r="T133" s="88"/>
      <c r="U133" s="88">
        <f>S133+U132</f>
        <v>83252.763910019741</v>
      </c>
      <c r="V133" s="88">
        <f t="shared" ref="V133:AC133" si="70">U133+V132</f>
        <v>88922.194383565395</v>
      </c>
      <c r="W133" s="88">
        <f t="shared" si="70"/>
        <v>94581.707771317408</v>
      </c>
      <c r="X133" s="88">
        <f t="shared" si="70"/>
        <v>100231.00656070199</v>
      </c>
      <c r="Y133" s="88">
        <f t="shared" si="70"/>
        <v>105869.7843137681</v>
      </c>
      <c r="Z133" s="88">
        <f t="shared" si="70"/>
        <v>111497.7253994262</v>
      </c>
      <c r="AA133" s="88">
        <f t="shared" si="70"/>
        <v>117114.50471765404</v>
      </c>
      <c r="AB133" s="88">
        <f t="shared" si="70"/>
        <v>122719.78741542871</v>
      </c>
      <c r="AC133" s="94">
        <f t="shared" si="70"/>
        <v>128313.22859413663</v>
      </c>
    </row>
    <row r="134" spans="1:29" ht="14.25" customHeight="1">
      <c r="A134" s="92"/>
      <c r="D134" s="32">
        <f t="shared" ref="D134:R134" si="71">D120+ABS(D133)/(ABS(D133)+ABS(E133))</f>
        <v>1.8111839834311356</v>
      </c>
      <c r="E134" s="32">
        <f t="shared" si="71"/>
        <v>2.1371645799428771</v>
      </c>
      <c r="F134" s="32">
        <f t="shared" si="71"/>
        <v>3.3520996004798054</v>
      </c>
      <c r="G134" s="32">
        <f t="shared" si="71"/>
        <v>4.4071602977721192</v>
      </c>
      <c r="H134" s="32">
        <f t="shared" si="71"/>
        <v>5.4323693979144645</v>
      </c>
      <c r="I134" s="32">
        <f t="shared" si="71"/>
        <v>6.4468268164720541</v>
      </c>
      <c r="J134" s="32">
        <f t="shared" si="71"/>
        <v>7.456202547671154</v>
      </c>
      <c r="K134" s="32">
        <f t="shared" si="71"/>
        <v>8.4627758294000959</v>
      </c>
      <c r="L134" s="32">
        <f t="shared" si="71"/>
        <v>9.4676401506237422</v>
      </c>
      <c r="M134" s="32">
        <f t="shared" si="71"/>
        <v>10.471385597548544</v>
      </c>
      <c r="N134" s="32">
        <f t="shared" si="71"/>
        <v>11.474358640530697</v>
      </c>
      <c r="O134" s="32">
        <f t="shared" si="71"/>
        <v>12.476776092952576</v>
      </c>
      <c r="P134" s="32">
        <f t="shared" si="71"/>
        <v>13.478780573474724</v>
      </c>
      <c r="Q134" s="32">
        <f t="shared" si="71"/>
        <v>14.493651516243977</v>
      </c>
      <c r="R134" s="32">
        <f t="shared" si="71"/>
        <v>15.480970010608109</v>
      </c>
      <c r="S134" s="32">
        <f>S120+ABS(S133)/(ABS(S133)+ABS(U133))</f>
        <v>16.482344141658761</v>
      </c>
      <c r="U134" s="32">
        <f t="shared" ref="U134:AC134" si="72">U120+ABS(U133)/(ABS(U133)+ABS(V133))</f>
        <v>17.483535844789117</v>
      </c>
      <c r="V134" s="32">
        <f t="shared" si="72"/>
        <v>18.484579310517944</v>
      </c>
      <c r="W134" s="32">
        <f t="shared" si="72"/>
        <v>19.485500692783951</v>
      </c>
      <c r="X134" s="32">
        <f t="shared" si="72"/>
        <v>20.486320339361288</v>
      </c>
      <c r="Y134" s="32">
        <f t="shared" si="72"/>
        <v>21.487054318529289</v>
      </c>
      <c r="Z134" s="32">
        <f t="shared" si="72"/>
        <v>22.487715488109821</v>
      </c>
      <c r="AA134" s="32">
        <f t="shared" si="72"/>
        <v>23.488314259299784</v>
      </c>
      <c r="AB134" s="32">
        <f t="shared" si="72"/>
        <v>24.488859152338563</v>
      </c>
      <c r="AC134" s="32">
        <f t="shared" si="72"/>
        <v>26</v>
      </c>
    </row>
    <row r="135" spans="1:29" ht="14.25" customHeight="1">
      <c r="A135" s="97" t="s">
        <v>171</v>
      </c>
      <c r="B135" s="88">
        <f>SUM(C122:C126)</f>
        <v>10500</v>
      </c>
      <c r="C135" s="32" t="str">
        <f>E74</f>
        <v>$</v>
      </c>
      <c r="AC135" s="93"/>
    </row>
    <row r="136" spans="1:29" ht="14.25" customHeight="1">
      <c r="A136" s="97" t="s">
        <v>172</v>
      </c>
      <c r="B136" s="72">
        <f>ROUND(IF(X133&lt;0,25,HLOOKUP(1,D119:AC134,16,FALSE)),1)</f>
        <v>1.8</v>
      </c>
      <c r="C136" s="32" t="s">
        <v>146</v>
      </c>
      <c r="AC136" s="93"/>
    </row>
    <row r="137" spans="1:29" ht="14.25" customHeight="1">
      <c r="A137" s="97" t="s">
        <v>173</v>
      </c>
      <c r="B137" s="98">
        <f t="array" ref="B137">C132+NPV((E85/100),D132:X132)</f>
        <v>59206.782933562659</v>
      </c>
      <c r="C137" s="32" t="str">
        <f>E74</f>
        <v>$</v>
      </c>
      <c r="AC137" s="93"/>
    </row>
    <row r="138" spans="1:29" ht="14.25" customHeight="1">
      <c r="A138" s="99" t="s">
        <v>174</v>
      </c>
      <c r="B138" s="100">
        <f>IRR(C132:X132)</f>
        <v>0.55091860598831621</v>
      </c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96"/>
    </row>
    <row r="139" spans="1:29" ht="14.25" customHeight="1"/>
    <row r="140" spans="1:29" ht="14.25" customHeight="1">
      <c r="A140" s="31" t="s">
        <v>178</v>
      </c>
    </row>
    <row r="141" spans="1:29" ht="14.25" customHeight="1"/>
    <row r="142" spans="1:29" ht="14.25" customHeight="1">
      <c r="A142" s="44" t="s">
        <v>179</v>
      </c>
      <c r="B142" s="44"/>
      <c r="C142" s="44"/>
      <c r="D142" s="78" t="s">
        <v>180</v>
      </c>
      <c r="E142" s="28">
        <f>'2 Input'!N13</f>
        <v>25</v>
      </c>
      <c r="F142" s="44" t="s">
        <v>21</v>
      </c>
      <c r="M142" s="101" t="s">
        <v>181</v>
      </c>
      <c r="N142" s="102" t="str">
        <f>P163</f>
        <v>Temperature of the product</v>
      </c>
    </row>
    <row r="143" spans="1:29" ht="14.25" customHeight="1">
      <c r="A143" s="44" t="s">
        <v>182</v>
      </c>
      <c r="B143" s="44"/>
      <c r="C143" s="44"/>
      <c r="D143" s="78" t="s">
        <v>183</v>
      </c>
      <c r="E143" s="28">
        <f>'2 Input'!N14</f>
        <v>4</v>
      </c>
      <c r="F143" s="44" t="s">
        <v>21</v>
      </c>
      <c r="M143" s="103">
        <v>0</v>
      </c>
      <c r="N143" s="104">
        <f>E142</f>
        <v>25</v>
      </c>
    </row>
    <row r="144" spans="1:29" ht="14.25" customHeight="1">
      <c r="M144" s="103">
        <v>1</v>
      </c>
      <c r="N144" s="105">
        <f t="shared" ref="N144:N167" si="73">($E$143-($E$143-$E$142)*EXP(-M144*3600/$B$155))</f>
        <v>14.308380110950022</v>
      </c>
    </row>
    <row r="145" spans="1:16" ht="14.25" customHeight="1">
      <c r="A145" s="44" t="s">
        <v>184</v>
      </c>
      <c r="B145" s="44"/>
      <c r="C145" s="44"/>
      <c r="D145" s="78" t="s">
        <v>105</v>
      </c>
      <c r="E145" s="28">
        <f>'2 Input'!G5</f>
        <v>500</v>
      </c>
      <c r="F145" s="44" t="s">
        <v>12</v>
      </c>
      <c r="M145" s="103">
        <v>2</v>
      </c>
      <c r="N145" s="105">
        <f t="shared" si="73"/>
        <v>9.0601285958014302</v>
      </c>
    </row>
    <row r="146" spans="1:16" ht="14.25" customHeight="1">
      <c r="A146" s="44" t="s">
        <v>185</v>
      </c>
      <c r="B146" s="44"/>
      <c r="C146" s="44"/>
      <c r="D146" s="78" t="s">
        <v>107</v>
      </c>
      <c r="E146" s="28">
        <f>'2 Input'!G6</f>
        <v>86</v>
      </c>
      <c r="F146" s="44" t="s">
        <v>186</v>
      </c>
      <c r="M146" s="103">
        <v>3</v>
      </c>
      <c r="N146" s="105">
        <f t="shared" si="73"/>
        <v>6.4838918559909011</v>
      </c>
    </row>
    <row r="147" spans="1:16" ht="14.25" customHeight="1">
      <c r="A147" s="44" t="s">
        <v>187</v>
      </c>
      <c r="B147" s="44"/>
      <c r="C147" s="44"/>
      <c r="D147" s="78" t="s">
        <v>108</v>
      </c>
      <c r="E147" s="28">
        <f>'2 Input'!G7</f>
        <v>0</v>
      </c>
      <c r="F147" s="44" t="s">
        <v>109</v>
      </c>
      <c r="H147" s="44" t="s">
        <v>188</v>
      </c>
      <c r="I147" s="44"/>
      <c r="J147" s="44"/>
      <c r="K147" s="68">
        <f>4.19-2.3*((100-E146)/100)-0.628*((100-E146)/100)^3</f>
        <v>3.8662767680000005</v>
      </c>
      <c r="L147" s="44" t="s">
        <v>109</v>
      </c>
      <c r="M147" s="103">
        <v>4</v>
      </c>
      <c r="N147" s="105">
        <f t="shared" si="73"/>
        <v>5.2192810193355879</v>
      </c>
    </row>
    <row r="148" spans="1:16" ht="14.25" customHeight="1">
      <c r="A148" s="44" t="s">
        <v>189</v>
      </c>
      <c r="B148" s="44"/>
      <c r="C148" s="44"/>
      <c r="D148" s="78" t="s">
        <v>13</v>
      </c>
      <c r="E148" s="28">
        <f>'2 Input'!G8</f>
        <v>3.5000000000000003E-2</v>
      </c>
      <c r="F148" s="44" t="s">
        <v>14</v>
      </c>
      <c r="H148" s="44" t="s">
        <v>190</v>
      </c>
      <c r="I148" s="44"/>
      <c r="J148" s="44"/>
      <c r="K148" s="68">
        <f>IF(E147&gt;0,E147,K147)</f>
        <v>3.8662767680000005</v>
      </c>
      <c r="L148" s="44" t="s">
        <v>109</v>
      </c>
      <c r="M148" s="103">
        <v>5</v>
      </c>
      <c r="N148" s="105">
        <f t="shared" si="73"/>
        <v>4.5985148671132308</v>
      </c>
    </row>
    <row r="149" spans="1:16" ht="14.25" customHeight="1">
      <c r="A149" s="44" t="s">
        <v>191</v>
      </c>
      <c r="B149" s="44"/>
      <c r="C149" s="44"/>
      <c r="D149" s="78" t="s">
        <v>15</v>
      </c>
      <c r="E149" s="28">
        <f>'2 Input'!G9</f>
        <v>997</v>
      </c>
      <c r="F149" s="44" t="s">
        <v>16</v>
      </c>
      <c r="M149" s="103">
        <v>6</v>
      </c>
      <c r="N149" s="105">
        <f t="shared" si="73"/>
        <v>4.2937961310599011</v>
      </c>
    </row>
    <row r="150" spans="1:16" ht="14.25" customHeight="1">
      <c r="A150" s="44" t="s">
        <v>192</v>
      </c>
      <c r="B150" s="44"/>
      <c r="C150" s="44"/>
      <c r="D150" s="78" t="s">
        <v>17</v>
      </c>
      <c r="E150" s="28">
        <f>'2 Input'!G10</f>
        <v>5</v>
      </c>
      <c r="F150" s="44" t="s">
        <v>18</v>
      </c>
      <c r="M150" s="103">
        <v>7</v>
      </c>
      <c r="N150" s="105">
        <f t="shared" si="73"/>
        <v>4.1442172473377124</v>
      </c>
    </row>
    <row r="151" spans="1:16" ht="14.25" customHeight="1">
      <c r="A151" s="44"/>
      <c r="B151" s="44"/>
      <c r="C151" s="44"/>
      <c r="D151" s="78"/>
      <c r="E151" s="28"/>
      <c r="F151" s="44"/>
      <c r="M151" s="103">
        <v>8</v>
      </c>
      <c r="N151" s="105">
        <f t="shared" si="73"/>
        <v>4.0707926763862874</v>
      </c>
    </row>
    <row r="152" spans="1:16" ht="14.25" customHeight="1">
      <c r="M152" s="103">
        <v>9</v>
      </c>
      <c r="N152" s="105">
        <f t="shared" si="73"/>
        <v>4.0347503722505396</v>
      </c>
    </row>
    <row r="153" spans="1:16" ht="14.25" customHeight="1">
      <c r="A153" s="44" t="s">
        <v>193</v>
      </c>
      <c r="B153" s="106">
        <f>3/4*PI()*E148^3</f>
        <v>1.0102183876699681E-4</v>
      </c>
      <c r="C153" s="32" t="s">
        <v>194</v>
      </c>
      <c r="M153" s="103">
        <v>10</v>
      </c>
      <c r="N153" s="105">
        <f t="shared" si="73"/>
        <v>4.0170580974359797</v>
      </c>
    </row>
    <row r="154" spans="1:16" ht="14.25" customHeight="1">
      <c r="A154" s="44" t="s">
        <v>195</v>
      </c>
      <c r="B154" s="86">
        <f>4*PI()*E148^2</f>
        <v>1.5393804002589988E-2</v>
      </c>
      <c r="C154" s="32" t="s">
        <v>131</v>
      </c>
      <c r="M154" s="103">
        <v>11</v>
      </c>
      <c r="N154" s="105">
        <f t="shared" si="73"/>
        <v>4.0083733977304616</v>
      </c>
    </row>
    <row r="155" spans="1:16" ht="14.25" customHeight="1">
      <c r="A155" s="44" t="s">
        <v>196</v>
      </c>
      <c r="B155" s="68">
        <f>3600*E149*K148*0.277778*B153/(B154*E150)</f>
        <v>5059.2688406378365</v>
      </c>
      <c r="C155" s="32" t="s">
        <v>197</v>
      </c>
      <c r="M155" s="103">
        <v>12</v>
      </c>
      <c r="N155" s="105">
        <f t="shared" si="73"/>
        <v>4.0041102936488464</v>
      </c>
    </row>
    <row r="156" spans="1:16" ht="14.25" customHeight="1">
      <c r="A156" s="44" t="s">
        <v>198</v>
      </c>
      <c r="B156" s="86">
        <f>E149*B153*1000</f>
        <v>100.71877325069582</v>
      </c>
      <c r="C156" s="32" t="s">
        <v>199</v>
      </c>
      <c r="M156" s="103">
        <v>13</v>
      </c>
      <c r="N156" s="105">
        <f t="shared" si="73"/>
        <v>4.0020176413952351</v>
      </c>
      <c r="O156" s="32" t="s">
        <v>200</v>
      </c>
    </row>
    <row r="157" spans="1:16" ht="14.25" customHeight="1">
      <c r="A157" s="44" t="s">
        <v>134</v>
      </c>
      <c r="B157" s="86">
        <f>'2 Input'!G25</f>
        <v>31.739999999999995</v>
      </c>
      <c r="C157" s="32" t="s">
        <v>136</v>
      </c>
      <c r="H157" s="32" t="s">
        <v>201</v>
      </c>
      <c r="M157" s="103">
        <v>14</v>
      </c>
      <c r="N157" s="105">
        <f t="shared" si="73"/>
        <v>4.0009904102109362</v>
      </c>
    </row>
    <row r="158" spans="1:16" ht="14.25" customHeight="1">
      <c r="H158" s="32" t="s">
        <v>202</v>
      </c>
      <c r="M158" s="103">
        <v>15</v>
      </c>
      <c r="N158" s="105">
        <f t="shared" si="73"/>
        <v>4.0004861678533379</v>
      </c>
      <c r="P158" s="32" t="s">
        <v>203</v>
      </c>
    </row>
    <row r="159" spans="1:16" ht="14.25" customHeight="1">
      <c r="H159" s="107" t="s">
        <v>204</v>
      </c>
      <c r="M159" s="103">
        <v>16</v>
      </c>
      <c r="N159" s="105">
        <f t="shared" si="73"/>
        <v>4.0002386477633305</v>
      </c>
    </row>
    <row r="160" spans="1:16" ht="14.25" customHeight="1">
      <c r="M160" s="103">
        <v>17</v>
      </c>
      <c r="N160" s="105">
        <f t="shared" si="73"/>
        <v>4.0001171462789067</v>
      </c>
      <c r="P160" s="32" t="str">
        <f>Translation!B114</f>
        <v>Cooling Curve</v>
      </c>
    </row>
    <row r="161" spans="1:16" ht="14.25" customHeight="1">
      <c r="A161" s="31" t="s">
        <v>205</v>
      </c>
      <c r="M161" s="103">
        <v>18</v>
      </c>
      <c r="N161" s="105">
        <f t="shared" si="73"/>
        <v>4.0000575042081694</v>
      </c>
      <c r="P161" s="32" t="str">
        <f>Translation!B115</f>
        <v>Temperature in °C</v>
      </c>
    </row>
    <row r="162" spans="1:16" ht="14.25" customHeight="1">
      <c r="M162" s="103">
        <v>19</v>
      </c>
      <c r="N162" s="105">
        <f t="shared" si="73"/>
        <v>4.0000282273921801</v>
      </c>
      <c r="P162" s="32" t="str">
        <f>Translation!B116</f>
        <v>Time in h</v>
      </c>
    </row>
    <row r="163" spans="1:16" ht="14.25" customHeight="1">
      <c r="M163" s="103">
        <v>20</v>
      </c>
      <c r="N163" s="105">
        <f t="shared" si="73"/>
        <v>4.0000138561280068</v>
      </c>
      <c r="P163" s="32" t="str">
        <f>Translation!B117</f>
        <v>Temperature of the product</v>
      </c>
    </row>
    <row r="164" spans="1:16" ht="14.25" customHeight="1">
      <c r="A164" s="44" t="s">
        <v>184</v>
      </c>
      <c r="B164" s="44"/>
      <c r="C164" s="44"/>
      <c r="D164" s="78" t="s">
        <v>105</v>
      </c>
      <c r="E164" s="28">
        <f>'2 Input'!G5</f>
        <v>500</v>
      </c>
      <c r="F164" s="44" t="s">
        <v>12</v>
      </c>
      <c r="M164" s="103">
        <v>21</v>
      </c>
      <c r="N164" s="105">
        <f t="shared" si="73"/>
        <v>4.0000068016302075</v>
      </c>
    </row>
    <row r="165" spans="1:16" ht="14.25" customHeight="1">
      <c r="A165" s="44" t="s">
        <v>206</v>
      </c>
      <c r="B165" s="44"/>
      <c r="C165" s="44"/>
      <c r="D165" s="78" t="s">
        <v>130</v>
      </c>
      <c r="E165" s="28">
        <f>E57</f>
        <v>65.78</v>
      </c>
      <c r="F165" s="44" t="s">
        <v>131</v>
      </c>
      <c r="M165" s="103">
        <v>22</v>
      </c>
      <c r="N165" s="105">
        <f t="shared" si="73"/>
        <v>4.0000033387518839</v>
      </c>
    </row>
    <row r="166" spans="1:16" ht="14.25" customHeight="1">
      <c r="A166" s="44" t="s">
        <v>207</v>
      </c>
      <c r="B166" s="44"/>
      <c r="C166" s="44"/>
      <c r="D166" s="78" t="s">
        <v>208</v>
      </c>
      <c r="E166" s="28">
        <f>'2 Input'!G29</f>
        <v>0.04</v>
      </c>
      <c r="F166" s="44" t="s">
        <v>37</v>
      </c>
      <c r="M166" s="103">
        <v>23</v>
      </c>
      <c r="N166" s="105">
        <f t="shared" si="73"/>
        <v>4.0000016389106436</v>
      </c>
    </row>
    <row r="167" spans="1:16" ht="14.25" customHeight="1">
      <c r="A167" s="44" t="s">
        <v>209</v>
      </c>
      <c r="B167" s="44"/>
      <c r="C167" s="44"/>
      <c r="D167" s="78" t="s">
        <v>39</v>
      </c>
      <c r="E167" s="28">
        <f>'2 Input'!G30</f>
        <v>0.1</v>
      </c>
      <c r="F167" s="44" t="s">
        <v>14</v>
      </c>
      <c r="M167" s="103">
        <v>24</v>
      </c>
      <c r="N167" s="105">
        <f t="shared" si="73"/>
        <v>4.0000008045006608</v>
      </c>
    </row>
    <row r="168" spans="1:16" ht="14.25" customHeight="1">
      <c r="A168" s="44" t="s">
        <v>210</v>
      </c>
      <c r="B168" s="44"/>
      <c r="C168" s="44"/>
      <c r="D168" s="44"/>
      <c r="E168" s="28" t="str">
        <f>IF(OR('2 Input'!G31=Translation!E86,'2 Input'!G31=Translation!F86,'2 Input'!G31=Translation!G86),"Yes","No")</f>
        <v>No</v>
      </c>
      <c r="F168" s="44"/>
    </row>
    <row r="169" spans="1:16" ht="14.25" customHeight="1">
      <c r="A169" s="44" t="s">
        <v>182</v>
      </c>
      <c r="B169" s="44"/>
      <c r="C169" s="44"/>
      <c r="D169" s="78" t="s">
        <v>183</v>
      </c>
      <c r="E169" s="28">
        <f>'2 Input'!N14</f>
        <v>4</v>
      </c>
      <c r="F169" s="44" t="s">
        <v>21</v>
      </c>
    </row>
    <row r="170" spans="1:16" ht="14.25" customHeight="1"/>
    <row r="171" spans="1:16" ht="14.25" customHeight="1">
      <c r="A171" s="44" t="s">
        <v>211</v>
      </c>
      <c r="B171" s="68">
        <f>E166/E167</f>
        <v>0.39999999999999997</v>
      </c>
      <c r="C171" s="32" t="s">
        <v>212</v>
      </c>
      <c r="D171" s="68"/>
    </row>
    <row r="172" spans="1:16" ht="14.25" customHeight="1">
      <c r="A172" s="44" t="s">
        <v>190</v>
      </c>
      <c r="B172" s="68">
        <f>IF(E147&gt;0,E147,K147)</f>
        <v>3.8662767680000005</v>
      </c>
      <c r="C172" s="32" t="s">
        <v>213</v>
      </c>
    </row>
    <row r="173" spans="1:16" ht="14.25" customHeight="1"/>
    <row r="174" spans="1:16" ht="14.25" customHeight="1">
      <c r="B174" s="108" t="s">
        <v>181</v>
      </c>
      <c r="C174" s="108" t="s">
        <v>214</v>
      </c>
      <c r="D174" s="108" t="s">
        <v>215</v>
      </c>
      <c r="E174" s="108" t="s">
        <v>216</v>
      </c>
      <c r="F174" s="108" t="s">
        <v>217</v>
      </c>
      <c r="G174" s="108" t="str">
        <f>K194</f>
        <v>Accumulated Cooling load in kWh</v>
      </c>
    </row>
    <row r="175" spans="1:16" ht="14.25" customHeight="1">
      <c r="B175" s="103">
        <f t="shared" ref="B175:C175" si="74">M143</f>
        <v>0</v>
      </c>
      <c r="C175" s="109">
        <f t="shared" si="74"/>
        <v>25</v>
      </c>
      <c r="D175" s="110">
        <v>26.6</v>
      </c>
      <c r="E175" s="105">
        <f t="shared" ref="E175:E198" si="75">($C175-$C176)*$E$164*$B$172/(($B176-$B175)*3600)</f>
        <v>5.7412168874056491</v>
      </c>
      <c r="F175" s="105">
        <f t="shared" ref="F175:F199" si="76">$B$171*$E$165*(D175-$E$169)/1000</f>
        <v>0.59465120000000005</v>
      </c>
      <c r="G175" s="105">
        <v>0</v>
      </c>
    </row>
    <row r="176" spans="1:16" ht="14.25" customHeight="1">
      <c r="B176" s="103">
        <f t="shared" ref="B176:C176" si="77">M144</f>
        <v>1</v>
      </c>
      <c r="C176" s="109">
        <f t="shared" si="77"/>
        <v>14.308380110950022</v>
      </c>
      <c r="D176" s="110">
        <v>27.3</v>
      </c>
      <c r="E176" s="105">
        <f t="shared" si="75"/>
        <v>2.8182212368944173</v>
      </c>
      <c r="F176" s="105">
        <f t="shared" si="76"/>
        <v>0.61306959999999988</v>
      </c>
      <c r="G176" s="105">
        <f>(E175+F175)*(B176-B175)</f>
        <v>6.3358680874056494</v>
      </c>
    </row>
    <row r="177" spans="2:11" ht="14.25" customHeight="1">
      <c r="B177" s="103">
        <f t="shared" ref="B177:C177" si="78">M145</f>
        <v>2</v>
      </c>
      <c r="C177" s="109">
        <f t="shared" si="78"/>
        <v>9.0601285958014302</v>
      </c>
      <c r="D177" s="110">
        <v>28</v>
      </c>
      <c r="E177" s="105">
        <f t="shared" si="75"/>
        <v>1.3833950355552098</v>
      </c>
      <c r="F177" s="105">
        <f t="shared" si="76"/>
        <v>0.63148799999999994</v>
      </c>
      <c r="G177" s="105">
        <f t="shared" ref="G177:G199" si="79">G176+(E176+F176)*(B177-B176)</f>
        <v>9.767158924300066</v>
      </c>
    </row>
    <row r="178" spans="2:11" ht="14.25" customHeight="1">
      <c r="B178" s="103">
        <f t="shared" ref="B178:C178" si="80">M146</f>
        <v>3</v>
      </c>
      <c r="C178" s="109">
        <f t="shared" si="80"/>
        <v>6.4838918559909011</v>
      </c>
      <c r="D178" s="110">
        <v>28.6</v>
      </c>
      <c r="E178" s="105">
        <f t="shared" si="75"/>
        <v>0.67907437476687238</v>
      </c>
      <c r="F178" s="105">
        <f t="shared" si="76"/>
        <v>0.64727519999999994</v>
      </c>
      <c r="G178" s="105">
        <f t="shared" si="79"/>
        <v>11.782041959855276</v>
      </c>
    </row>
    <row r="179" spans="2:11" ht="14.25" customHeight="1">
      <c r="B179" s="103">
        <f t="shared" ref="B179:C179" si="81">M147</f>
        <v>4</v>
      </c>
      <c r="C179" s="109">
        <f t="shared" si="81"/>
        <v>5.2192810193355879</v>
      </c>
      <c r="D179" s="110">
        <v>27.7</v>
      </c>
      <c r="E179" s="105">
        <f t="shared" si="75"/>
        <v>0.3333407989858404</v>
      </c>
      <c r="F179" s="105">
        <f t="shared" si="76"/>
        <v>0.62359439999999999</v>
      </c>
      <c r="G179" s="105">
        <f t="shared" si="79"/>
        <v>13.108391534622148</v>
      </c>
    </row>
    <row r="180" spans="2:11" ht="14.25" customHeight="1">
      <c r="B180" s="103">
        <f t="shared" ref="B180:C180" si="82">M148</f>
        <v>5</v>
      </c>
      <c r="C180" s="109">
        <f t="shared" si="82"/>
        <v>4.5985148671132308</v>
      </c>
      <c r="D180" s="110">
        <v>26.8</v>
      </c>
      <c r="E180" s="105">
        <f t="shared" si="75"/>
        <v>0.1636287458301823</v>
      </c>
      <c r="F180" s="105">
        <f t="shared" si="76"/>
        <v>0.59991359999999994</v>
      </c>
      <c r="G180" s="105">
        <f t="shared" si="79"/>
        <v>14.065326733607989</v>
      </c>
    </row>
    <row r="181" spans="2:11" ht="14.25" customHeight="1">
      <c r="B181" s="103">
        <f t="shared" ref="B181:C181" si="83">M149</f>
        <v>6</v>
      </c>
      <c r="C181" s="109">
        <f t="shared" si="83"/>
        <v>4.2937961310599011</v>
      </c>
      <c r="D181" s="110">
        <v>25.8</v>
      </c>
      <c r="E181" s="105">
        <f t="shared" si="75"/>
        <v>8.0321300433121079E-2</v>
      </c>
      <c r="F181" s="105">
        <f t="shared" si="76"/>
        <v>0.57360159999999993</v>
      </c>
      <c r="G181" s="105">
        <f t="shared" si="79"/>
        <v>14.828869079438171</v>
      </c>
    </row>
    <row r="182" spans="2:11" ht="14.25" customHeight="1">
      <c r="B182" s="103">
        <f t="shared" ref="B182:C182" si="84">M150</f>
        <v>7</v>
      </c>
      <c r="C182" s="109">
        <f t="shared" si="84"/>
        <v>4.1442172473377124</v>
      </c>
      <c r="D182" s="110">
        <v>24.3</v>
      </c>
      <c r="E182" s="105">
        <f t="shared" si="75"/>
        <v>3.9427737898591941E-2</v>
      </c>
      <c r="F182" s="105">
        <f t="shared" si="76"/>
        <v>0.53413359999999999</v>
      </c>
      <c r="G182" s="105">
        <f t="shared" si="79"/>
        <v>15.482791979871292</v>
      </c>
    </row>
    <row r="183" spans="2:11" ht="14.25" customHeight="1">
      <c r="B183" s="103">
        <f t="shared" ref="B183:C183" si="85">M151</f>
        <v>8</v>
      </c>
      <c r="C183" s="109">
        <f t="shared" si="85"/>
        <v>4.0707926763862874</v>
      </c>
      <c r="D183" s="110">
        <v>23</v>
      </c>
      <c r="E183" s="105">
        <f t="shared" si="75"/>
        <v>1.9354100436837798E-2</v>
      </c>
      <c r="F183" s="105">
        <f t="shared" si="76"/>
        <v>0.49992799999999993</v>
      </c>
      <c r="G183" s="105">
        <f t="shared" si="79"/>
        <v>16.056353317769883</v>
      </c>
    </row>
    <row r="184" spans="2:11" ht="14.25" customHeight="1">
      <c r="B184" s="103">
        <f t="shared" ref="B184:C184" si="86">M152</f>
        <v>9</v>
      </c>
      <c r="C184" s="109">
        <f t="shared" si="86"/>
        <v>4.0347503722505396</v>
      </c>
      <c r="D184" s="110">
        <v>21.8</v>
      </c>
      <c r="E184" s="105">
        <f t="shared" si="75"/>
        <v>9.5004487623061296E-3</v>
      </c>
      <c r="F184" s="105">
        <f t="shared" si="76"/>
        <v>0.46835359999999998</v>
      </c>
      <c r="G184" s="105">
        <f t="shared" si="79"/>
        <v>16.575635418206719</v>
      </c>
    </row>
    <row r="185" spans="2:11" ht="14.25" customHeight="1">
      <c r="B185" s="103">
        <f t="shared" ref="B185:C185" si="87">M153</f>
        <v>10</v>
      </c>
      <c r="C185" s="109">
        <f t="shared" si="87"/>
        <v>4.0170580974359797</v>
      </c>
      <c r="D185" s="110">
        <v>21.3</v>
      </c>
      <c r="E185" s="105">
        <f t="shared" si="75"/>
        <v>4.6635350984029307E-3</v>
      </c>
      <c r="F185" s="105">
        <f t="shared" si="76"/>
        <v>0.45519759999999998</v>
      </c>
      <c r="G185" s="105">
        <f t="shared" si="79"/>
        <v>17.053489466969026</v>
      </c>
    </row>
    <row r="186" spans="2:11" ht="14.25" customHeight="1">
      <c r="B186" s="103">
        <f t="shared" ref="B186:C186" si="88">M154</f>
        <v>11</v>
      </c>
      <c r="C186" s="109">
        <f t="shared" si="88"/>
        <v>4.0083733977304616</v>
      </c>
      <c r="D186" s="110">
        <v>20.9</v>
      </c>
      <c r="E186" s="105">
        <f t="shared" si="75"/>
        <v>2.289213926432632E-3</v>
      </c>
      <c r="F186" s="105">
        <f t="shared" si="76"/>
        <v>0.44467279999999992</v>
      </c>
      <c r="G186" s="105">
        <f t="shared" si="79"/>
        <v>17.51335060206743</v>
      </c>
    </row>
    <row r="187" spans="2:11" ht="14.25" customHeight="1">
      <c r="B187" s="103">
        <f t="shared" ref="B187:C187" si="89">M155</f>
        <v>12</v>
      </c>
      <c r="C187" s="109">
        <f t="shared" si="89"/>
        <v>4.0041102936488464</v>
      </c>
      <c r="D187" s="110">
        <v>20.399999999999999</v>
      </c>
      <c r="E187" s="105">
        <f t="shared" si="75"/>
        <v>1.1237184432833773E-3</v>
      </c>
      <c r="F187" s="105">
        <f t="shared" si="76"/>
        <v>0.43151679999999992</v>
      </c>
      <c r="G187" s="105">
        <f t="shared" si="79"/>
        <v>17.960312615993864</v>
      </c>
    </row>
    <row r="188" spans="2:11" ht="14.25" customHeight="1">
      <c r="B188" s="103">
        <f t="shared" ref="B188:C188" si="90">M156</f>
        <v>13</v>
      </c>
      <c r="C188" s="109">
        <f t="shared" si="90"/>
        <v>4.0020176413952351</v>
      </c>
      <c r="D188" s="110">
        <v>20.100000000000001</v>
      </c>
      <c r="E188" s="105">
        <f t="shared" si="75"/>
        <v>5.5160556433612052E-4</v>
      </c>
      <c r="F188" s="105">
        <f t="shared" si="76"/>
        <v>0.42362319999999998</v>
      </c>
      <c r="G188" s="105">
        <f t="shared" si="79"/>
        <v>18.392953134437146</v>
      </c>
    </row>
    <row r="189" spans="2:11" ht="14.25" customHeight="1">
      <c r="B189" s="103">
        <f t="shared" ref="B189:C189" si="91">M157</f>
        <v>14</v>
      </c>
      <c r="C189" s="109">
        <f t="shared" si="91"/>
        <v>4.0009904102109362</v>
      </c>
      <c r="D189" s="110">
        <v>19.7</v>
      </c>
      <c r="E189" s="105">
        <f t="shared" si="75"/>
        <v>2.7076951564218739E-4</v>
      </c>
      <c r="F189" s="105">
        <f t="shared" si="76"/>
        <v>0.41309839999999998</v>
      </c>
      <c r="G189" s="105">
        <f t="shared" si="79"/>
        <v>18.817127940001484</v>
      </c>
    </row>
    <row r="190" spans="2:11" ht="14.25" customHeight="1">
      <c r="B190" s="103">
        <f t="shared" ref="B190:C190" si="92">M158</f>
        <v>15</v>
      </c>
      <c r="C190" s="109">
        <f t="shared" si="92"/>
        <v>4.0004861678533379</v>
      </c>
      <c r="D190" s="110">
        <v>19.3</v>
      </c>
      <c r="E190" s="105">
        <f t="shared" si="75"/>
        <v>1.3291405189011762E-4</v>
      </c>
      <c r="F190" s="105">
        <f t="shared" si="76"/>
        <v>0.40257359999999998</v>
      </c>
      <c r="G190" s="105">
        <f t="shared" si="79"/>
        <v>19.230497109517128</v>
      </c>
    </row>
    <row r="191" spans="2:11" ht="14.25" customHeight="1">
      <c r="B191" s="103">
        <f t="shared" ref="B191:C191" si="93">M159</f>
        <v>16</v>
      </c>
      <c r="C191" s="109">
        <f t="shared" si="93"/>
        <v>4.0002386477633305</v>
      </c>
      <c r="D191" s="110">
        <v>19.100000000000001</v>
      </c>
      <c r="E191" s="105">
        <f t="shared" si="75"/>
        <v>6.5244217570175323E-5</v>
      </c>
      <c r="F191" s="105">
        <f t="shared" si="76"/>
        <v>0.39731119999999998</v>
      </c>
      <c r="G191" s="105">
        <f t="shared" si="79"/>
        <v>19.633203623569017</v>
      </c>
    </row>
    <row r="192" spans="2:11" ht="14.25" customHeight="1">
      <c r="B192" s="103">
        <f t="shared" ref="B192:C192" si="94">M160</f>
        <v>17</v>
      </c>
      <c r="C192" s="109">
        <f t="shared" si="94"/>
        <v>4.0001171462789067</v>
      </c>
      <c r="D192" s="110">
        <v>18.8</v>
      </c>
      <c r="E192" s="105">
        <f t="shared" si="75"/>
        <v>3.2026771178741947E-5</v>
      </c>
      <c r="F192" s="105">
        <f t="shared" si="76"/>
        <v>0.38941759999999997</v>
      </c>
      <c r="G192" s="105">
        <f t="shared" si="79"/>
        <v>20.030580067786588</v>
      </c>
      <c r="K192" s="32" t="s">
        <v>203</v>
      </c>
    </row>
    <row r="193" spans="2:11" ht="14.25" customHeight="1">
      <c r="B193" s="103">
        <f t="shared" ref="B193:C193" si="95">M161</f>
        <v>18</v>
      </c>
      <c r="C193" s="109">
        <f t="shared" si="95"/>
        <v>4.0000575042081694</v>
      </c>
      <c r="D193" s="110">
        <v>18.600000000000001</v>
      </c>
      <c r="E193" s="105">
        <f t="shared" si="75"/>
        <v>1.5721149097282827E-5</v>
      </c>
      <c r="F193" s="105">
        <f t="shared" si="76"/>
        <v>0.38415519999999997</v>
      </c>
      <c r="G193" s="105">
        <f t="shared" si="79"/>
        <v>20.420029694557766</v>
      </c>
      <c r="K193" s="32" t="str">
        <f>Translation!B116</f>
        <v>Time in h</v>
      </c>
    </row>
    <row r="194" spans="2:11" ht="14.25" customHeight="1">
      <c r="B194" s="103">
        <f t="shared" ref="B194:C194" si="96">M162</f>
        <v>19</v>
      </c>
      <c r="C194" s="109">
        <f t="shared" si="96"/>
        <v>4.0000282273921801</v>
      </c>
      <c r="D194" s="110">
        <v>19.5</v>
      </c>
      <c r="E194" s="105">
        <f t="shared" si="75"/>
        <v>7.7171228889255006E-6</v>
      </c>
      <c r="F194" s="105">
        <f t="shared" si="76"/>
        <v>0.40783599999999998</v>
      </c>
      <c r="G194" s="105">
        <f t="shared" si="79"/>
        <v>20.804200615706861</v>
      </c>
      <c r="K194" s="32" t="str">
        <f>Translation!B118</f>
        <v>Accumulated Cooling load in kWh</v>
      </c>
    </row>
    <row r="195" spans="2:11" ht="14.25" customHeight="1">
      <c r="B195" s="103">
        <f t="shared" ref="B195:C195" si="97">M163</f>
        <v>20</v>
      </c>
      <c r="C195" s="109">
        <f t="shared" si="97"/>
        <v>4.0000138561280068</v>
      </c>
      <c r="D195" s="110">
        <v>21</v>
      </c>
      <c r="E195" s="105">
        <f t="shared" si="75"/>
        <v>3.7881445765496478E-6</v>
      </c>
      <c r="F195" s="105">
        <f t="shared" si="76"/>
        <v>0.44730399999999998</v>
      </c>
      <c r="G195" s="105">
        <f t="shared" si="79"/>
        <v>21.212044332829752</v>
      </c>
      <c r="K195" s="32" t="str">
        <f>Translation!B119</f>
        <v>Cooling load</v>
      </c>
    </row>
    <row r="196" spans="2:11" ht="14.25" customHeight="1">
      <c r="B196" s="103">
        <f t="shared" ref="B196:C196" si="98">M164</f>
        <v>21</v>
      </c>
      <c r="C196" s="109">
        <f t="shared" si="98"/>
        <v>4.0000068016302075</v>
      </c>
      <c r="D196" s="110">
        <v>22.5</v>
      </c>
      <c r="E196" s="105">
        <f t="shared" si="75"/>
        <v>1.8595063907113938E-6</v>
      </c>
      <c r="F196" s="105">
        <f t="shared" si="76"/>
        <v>0.48677199999999993</v>
      </c>
      <c r="G196" s="105">
        <f t="shared" si="79"/>
        <v>21.659352120974329</v>
      </c>
    </row>
    <row r="197" spans="2:11" ht="14.25" customHeight="1">
      <c r="B197" s="103">
        <f t="shared" ref="B197:C197" si="99">M165</f>
        <v>22</v>
      </c>
      <c r="C197" s="109">
        <f t="shared" si="99"/>
        <v>4.0000033387518839</v>
      </c>
      <c r="D197" s="110">
        <v>24</v>
      </c>
      <c r="E197" s="105">
        <f t="shared" si="75"/>
        <v>9.1278565226573574E-7</v>
      </c>
      <c r="F197" s="105">
        <f t="shared" si="76"/>
        <v>0.52624000000000004</v>
      </c>
      <c r="G197" s="105">
        <f t="shared" si="79"/>
        <v>22.146125980480718</v>
      </c>
    </row>
    <row r="198" spans="2:11" ht="14.25" customHeight="1">
      <c r="B198" s="103">
        <f t="shared" ref="B198:C198" si="100">M166</f>
        <v>23</v>
      </c>
      <c r="C198" s="109">
        <f t="shared" si="100"/>
        <v>4.0000016389106436</v>
      </c>
      <c r="D198" s="110">
        <v>25.3</v>
      </c>
      <c r="E198" s="105">
        <f t="shared" si="75"/>
        <v>4.4806387941941016E-7</v>
      </c>
      <c r="F198" s="105">
        <f t="shared" si="76"/>
        <v>0.56044559999999999</v>
      </c>
      <c r="G198" s="105">
        <f t="shared" si="79"/>
        <v>22.672366893266371</v>
      </c>
    </row>
    <row r="199" spans="2:11" ht="14.25" customHeight="1">
      <c r="B199" s="103">
        <f t="shared" ref="B199:C199" si="101">M167</f>
        <v>24</v>
      </c>
      <c r="C199" s="109">
        <f t="shared" si="101"/>
        <v>4.0000008045006608</v>
      </c>
      <c r="D199" s="110">
        <v>26.6</v>
      </c>
      <c r="E199" s="105"/>
      <c r="F199" s="105">
        <f t="shared" si="76"/>
        <v>0.59465120000000005</v>
      </c>
      <c r="G199" s="105">
        <f t="shared" si="79"/>
        <v>23.232812941330252</v>
      </c>
    </row>
    <row r="200" spans="2:11" ht="14.25" customHeight="1"/>
    <row r="201" spans="2:11" ht="14.25" customHeight="1"/>
    <row r="202" spans="2:11" ht="14.25" customHeight="1"/>
    <row r="203" spans="2:11" ht="14.25" customHeight="1"/>
    <row r="204" spans="2:11" ht="14.25" customHeight="1"/>
    <row r="205" spans="2:11" ht="14.25" customHeight="1"/>
    <row r="206" spans="2:11" ht="14.25" customHeight="1"/>
    <row r="207" spans="2:11" ht="14.25" customHeight="1"/>
    <row r="208" spans="2:11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spans="2:13" ht="14.25" customHeight="1"/>
    <row r="226" spans="2:13" ht="14.25" customHeight="1"/>
    <row r="227" spans="2:13" ht="14.25" customHeight="1"/>
    <row r="228" spans="2:13" ht="14.25" customHeight="1"/>
    <row r="229" spans="2:13" ht="14.25" customHeight="1"/>
    <row r="230" spans="2:13" ht="14.25" customHeight="1"/>
    <row r="231" spans="2:13" ht="14.25" customHeight="1"/>
    <row r="232" spans="2:13" ht="14.25" customHeight="1"/>
    <row r="233" spans="2:13" ht="14.25" customHeight="1">
      <c r="B233" s="32">
        <v>5.17</v>
      </c>
      <c r="C233" s="32">
        <v>6.01</v>
      </c>
      <c r="D233" s="32">
        <v>6.19</v>
      </c>
      <c r="E233" s="32">
        <v>6.28</v>
      </c>
      <c r="F233" s="32">
        <v>6.02</v>
      </c>
      <c r="G233" s="32">
        <v>5.57</v>
      </c>
      <c r="H233" s="32">
        <v>5.14</v>
      </c>
      <c r="I233" s="32">
        <v>4.97</v>
      </c>
      <c r="J233" s="32">
        <v>5.3</v>
      </c>
      <c r="K233" s="32">
        <v>5.56</v>
      </c>
      <c r="L233" s="32">
        <v>5.53</v>
      </c>
      <c r="M233" s="32">
        <v>5.26</v>
      </c>
    </row>
    <row r="234" spans="2:13" ht="14.25" customHeight="1"/>
    <row r="235" spans="2:13" ht="14.25" customHeight="1"/>
    <row r="236" spans="2:13" ht="14.25" customHeight="1">
      <c r="B236" s="243">
        <v>5.17</v>
      </c>
      <c r="C236" s="243">
        <v>6.01</v>
      </c>
      <c r="D236" s="243">
        <v>6.19</v>
      </c>
      <c r="E236" s="243">
        <v>6.28</v>
      </c>
      <c r="F236" s="243">
        <v>6.02</v>
      </c>
      <c r="G236" s="243">
        <v>5.57</v>
      </c>
      <c r="H236" s="243">
        <v>5.14</v>
      </c>
      <c r="I236" s="243">
        <v>4.97</v>
      </c>
      <c r="J236" s="243">
        <v>5.3</v>
      </c>
      <c r="K236" s="243">
        <v>5.56</v>
      </c>
      <c r="L236" s="243">
        <v>5.53</v>
      </c>
      <c r="M236" s="243">
        <v>5.26</v>
      </c>
    </row>
    <row r="237" spans="2:13" ht="14.25" customHeight="1"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</row>
    <row r="238" spans="2:13" ht="14.25" customHeight="1"/>
    <row r="239" spans="2:13" ht="14.25" customHeight="1"/>
    <row r="240" spans="2:13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">
    <mergeCell ref="L236:L237"/>
    <mergeCell ref="O13:P13"/>
    <mergeCell ref="O16:P16"/>
    <mergeCell ref="B236:B237"/>
    <mergeCell ref="C236:C237"/>
    <mergeCell ref="D236:D237"/>
    <mergeCell ref="E236:E237"/>
    <mergeCell ref="F236:F237"/>
    <mergeCell ref="M236:M237"/>
    <mergeCell ref="G236:G237"/>
    <mergeCell ref="H236:H237"/>
    <mergeCell ref="I236:I237"/>
    <mergeCell ref="J236:J237"/>
    <mergeCell ref="K236:K237"/>
  </mergeCells>
  <pageMargins left="0.7" right="0.7" top="0.78740157499999996" bottom="0.7874015749999999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0503-CCA6-4DF1-87B4-8620787695A1}">
  <sheetPr>
    <tabColor rgb="FF002060"/>
  </sheetPr>
  <dimension ref="B1:AA943"/>
  <sheetViews>
    <sheetView showGridLines="0" zoomScale="85" zoomScaleNormal="85" workbookViewId="0">
      <selection activeCell="J7" sqref="J7"/>
    </sheetView>
  </sheetViews>
  <sheetFormatPr baseColWidth="10" defaultColWidth="14.42578125" defaultRowHeight="15" customHeight="1"/>
  <cols>
    <col min="1" max="1" width="7" customWidth="1"/>
    <col min="2" max="2" width="5.28515625" customWidth="1"/>
    <col min="3" max="3" width="19.85546875" customWidth="1"/>
    <col min="4" max="4" width="20.42578125" customWidth="1"/>
    <col min="5" max="5" width="13.85546875" customWidth="1"/>
    <col min="6" max="6" width="11.5703125" customWidth="1"/>
    <col min="7" max="7" width="1.7109375" customWidth="1"/>
    <col min="8" max="8" width="19.85546875" customWidth="1"/>
    <col min="9" max="9" width="16.7109375" customWidth="1"/>
    <col min="10" max="10" width="18.5703125" customWidth="1"/>
    <col min="11" max="11" width="20.7109375" customWidth="1"/>
    <col min="12" max="12" width="19.85546875" customWidth="1"/>
    <col min="13" max="13" width="10.28515625" customWidth="1"/>
    <col min="14" max="14" width="23.7109375" customWidth="1"/>
    <col min="15" max="15" width="3.85546875" customWidth="1"/>
    <col min="16" max="16" width="5.85546875" customWidth="1"/>
    <col min="17" max="27" width="11.42578125" customWidth="1"/>
  </cols>
  <sheetData>
    <row r="1" spans="2:27" ht="36" customHeight="1" thickBot="1"/>
    <row r="2" spans="2:27" ht="73.900000000000006" customHeight="1">
      <c r="B2" s="153"/>
      <c r="C2" s="154"/>
      <c r="D2" s="154"/>
      <c r="E2" s="202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6.899999999999999" customHeight="1">
      <c r="B3" s="157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60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20.45" customHeight="1">
      <c r="B4" s="157"/>
      <c r="C4" s="241" t="s">
        <v>46</v>
      </c>
      <c r="D4" s="242"/>
      <c r="E4" s="242"/>
      <c r="F4" s="161"/>
      <c r="G4" s="162"/>
      <c r="H4" s="244" t="s">
        <v>462</v>
      </c>
      <c r="I4" s="242"/>
      <c r="J4" s="242"/>
      <c r="K4" s="161"/>
      <c r="L4" s="241" t="s">
        <v>463</v>
      </c>
      <c r="M4" s="242"/>
      <c r="N4" s="242"/>
      <c r="O4" s="161"/>
      <c r="P4" s="160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20.45" customHeight="1">
      <c r="B5" s="157"/>
      <c r="C5" s="164"/>
      <c r="D5" s="161"/>
      <c r="E5" s="161"/>
      <c r="F5" s="161"/>
      <c r="G5" s="162"/>
      <c r="H5" s="164"/>
      <c r="I5" s="161"/>
      <c r="J5" s="161"/>
      <c r="K5" s="161"/>
      <c r="L5" s="164"/>
      <c r="M5" s="161"/>
      <c r="N5" s="161"/>
      <c r="O5" s="161"/>
      <c r="P5" s="160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20.45" customHeight="1">
      <c r="B6" s="157"/>
      <c r="C6" s="142" t="s">
        <v>457</v>
      </c>
      <c r="D6" s="142"/>
      <c r="E6" s="143">
        <f>'3 Technical Design Output'!C16</f>
        <v>9.141</v>
      </c>
      <c r="F6" s="144" t="s">
        <v>60</v>
      </c>
      <c r="G6" s="145"/>
      <c r="H6" s="146" t="s">
        <v>467</v>
      </c>
      <c r="I6" s="142"/>
      <c r="J6" s="147">
        <v>550</v>
      </c>
      <c r="K6" s="144" t="s">
        <v>476</v>
      </c>
      <c r="L6" s="146" t="s">
        <v>464</v>
      </c>
      <c r="M6" s="142"/>
      <c r="N6" s="148">
        <f t="shared" ref="N6:N8" si="0">E6*J6</f>
        <v>5027.55</v>
      </c>
      <c r="O6" s="167"/>
      <c r="P6" s="16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0.45" customHeight="1">
      <c r="B7" s="157"/>
      <c r="C7" s="142" t="s">
        <v>458</v>
      </c>
      <c r="D7" s="142"/>
      <c r="E7" s="143">
        <f>'3 Technical Design Output'!I16</f>
        <v>30.12</v>
      </c>
      <c r="F7" s="144" t="s">
        <v>62</v>
      </c>
      <c r="G7" s="145"/>
      <c r="H7" s="146" t="s">
        <v>468</v>
      </c>
      <c r="I7" s="142"/>
      <c r="J7" s="149">
        <v>400</v>
      </c>
      <c r="K7" s="144" t="s">
        <v>477</v>
      </c>
      <c r="L7" s="142" t="s">
        <v>465</v>
      </c>
      <c r="M7" s="142"/>
      <c r="N7" s="148">
        <f t="shared" si="0"/>
        <v>12048</v>
      </c>
      <c r="O7" s="167"/>
      <c r="P7" s="160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20.45" customHeight="1">
      <c r="B8" s="157"/>
      <c r="C8" s="142" t="s">
        <v>459</v>
      </c>
      <c r="D8" s="142"/>
      <c r="E8" s="143">
        <f>'3 Technical Design Output'!M16</f>
        <v>3.5</v>
      </c>
      <c r="F8" s="144" t="s">
        <v>460</v>
      </c>
      <c r="G8" s="145"/>
      <c r="H8" s="146" t="s">
        <v>469</v>
      </c>
      <c r="I8" s="142"/>
      <c r="J8" s="149">
        <v>900</v>
      </c>
      <c r="K8" s="144" t="s">
        <v>478</v>
      </c>
      <c r="L8" s="142" t="s">
        <v>100</v>
      </c>
      <c r="M8" s="142"/>
      <c r="N8" s="148">
        <f t="shared" si="0"/>
        <v>3150</v>
      </c>
      <c r="O8" s="167"/>
      <c r="P8" s="160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20.45" customHeight="1">
      <c r="B9" s="157"/>
      <c r="C9" s="142" t="s">
        <v>461</v>
      </c>
      <c r="D9" s="142"/>
      <c r="E9" s="143">
        <f>'Calculation Sheet'!E57</f>
        <v>65.78</v>
      </c>
      <c r="F9" s="144" t="s">
        <v>131</v>
      </c>
      <c r="G9" s="145"/>
      <c r="H9" s="146" t="s">
        <v>470</v>
      </c>
      <c r="I9" s="142"/>
      <c r="J9" s="149">
        <v>110</v>
      </c>
      <c r="K9" s="144" t="s">
        <v>479</v>
      </c>
      <c r="L9" s="142" t="s">
        <v>360</v>
      </c>
      <c r="M9" s="142"/>
      <c r="N9" s="148">
        <f>E9*J9</f>
        <v>7235.8</v>
      </c>
      <c r="O9" s="167"/>
      <c r="P9" s="160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20.45" customHeight="1">
      <c r="B10" s="157"/>
      <c r="C10" s="142" t="s">
        <v>58</v>
      </c>
      <c r="D10" s="142"/>
      <c r="E10" s="150">
        <f>'3 Technical Design Output'!F16</f>
        <v>1</v>
      </c>
      <c r="F10" s="144"/>
      <c r="G10" s="145"/>
      <c r="H10" s="142" t="s">
        <v>24</v>
      </c>
      <c r="I10" s="142"/>
      <c r="J10" s="149">
        <v>2200</v>
      </c>
      <c r="K10" s="144" t="s">
        <v>480</v>
      </c>
      <c r="L10" s="142" t="s">
        <v>58</v>
      </c>
      <c r="M10" s="142"/>
      <c r="N10" s="148">
        <f>E10*J10</f>
        <v>2200</v>
      </c>
      <c r="O10" s="167"/>
      <c r="P10" s="160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20.45" customHeight="1">
      <c r="B11" s="157"/>
      <c r="C11" s="161"/>
      <c r="D11" s="161"/>
      <c r="E11" s="171"/>
      <c r="F11" s="167"/>
      <c r="G11" s="162"/>
      <c r="H11" s="161"/>
      <c r="I11" s="161"/>
      <c r="J11" s="171"/>
      <c r="K11" s="167"/>
      <c r="L11" s="161" t="s">
        <v>472</v>
      </c>
      <c r="M11" s="161"/>
      <c r="N11" s="198">
        <v>2000</v>
      </c>
      <c r="O11" s="167"/>
      <c r="P11" s="16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36" customHeight="1"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30" t="s">
        <v>466</v>
      </c>
      <c r="M12" s="131"/>
      <c r="N12" s="132">
        <f>SUM(N6:N11)</f>
        <v>31661.35</v>
      </c>
      <c r="O12" s="167"/>
      <c r="P12" s="16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35.450000000000003" customHeight="1" thickBot="1">
      <c r="B13" s="194"/>
      <c r="C13" s="199"/>
      <c r="D13" s="199"/>
      <c r="E13" s="199"/>
      <c r="F13" s="200"/>
      <c r="G13" s="199"/>
      <c r="H13" s="199"/>
      <c r="I13" s="199"/>
      <c r="J13" s="199"/>
      <c r="K13" s="200"/>
      <c r="L13" s="199"/>
      <c r="M13" s="199"/>
      <c r="N13" s="199"/>
      <c r="O13" s="200"/>
      <c r="P13" s="201"/>
      <c r="R13" s="54"/>
      <c r="U13" s="2"/>
      <c r="V13" s="2"/>
      <c r="W13" s="2"/>
      <c r="X13" s="2"/>
      <c r="Y13" s="2"/>
      <c r="Z13" s="2"/>
      <c r="AA13" s="2"/>
    </row>
    <row r="14" spans="2:27" ht="20.45" customHeight="1">
      <c r="B14" s="2"/>
      <c r="C14" s="51"/>
      <c r="D14" s="51"/>
      <c r="E14" s="55"/>
      <c r="F14" s="2"/>
      <c r="G14" s="2"/>
      <c r="H14" s="51"/>
      <c r="I14" s="51"/>
      <c r="J14" s="55"/>
      <c r="K14" s="2"/>
      <c r="L14" s="51"/>
      <c r="M14" s="51"/>
      <c r="N14" s="5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20.45" customHeight="1">
      <c r="B15" s="2"/>
      <c r="C15" s="51"/>
      <c r="D15" s="51"/>
      <c r="E15" s="56"/>
      <c r="F15" s="2"/>
      <c r="G15" s="50"/>
      <c r="H15" s="51"/>
      <c r="I15" s="51"/>
      <c r="J15" s="56"/>
      <c r="K15" s="2"/>
      <c r="L15" s="51"/>
      <c r="M15" s="51"/>
      <c r="N15" s="5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20.45" customHeight="1">
      <c r="B16" s="2"/>
      <c r="C16" s="51"/>
      <c r="D16" s="51"/>
      <c r="E16" s="56"/>
      <c r="F16" s="2"/>
      <c r="G16" s="51"/>
      <c r="H16" s="51"/>
      <c r="I16" s="51"/>
      <c r="J16" s="56"/>
      <c r="K16" s="2"/>
      <c r="L16" s="51"/>
      <c r="M16" s="51"/>
      <c r="N16" s="5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20.45" customHeight="1">
      <c r="B17" s="2"/>
      <c r="C17" s="57"/>
      <c r="D17" s="58"/>
      <c r="E17" s="55"/>
      <c r="F17" s="59"/>
      <c r="G17" s="58"/>
      <c r="H17" s="57"/>
      <c r="I17" s="58"/>
      <c r="J17" s="55"/>
      <c r="K17" s="59"/>
      <c r="L17" s="57"/>
      <c r="M17" s="58"/>
      <c r="N17" s="55"/>
      <c r="O17" s="5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20.45" customHeight="1">
      <c r="B18" s="2"/>
      <c r="C18" s="60"/>
      <c r="D18" s="60"/>
      <c r="E18" s="61"/>
      <c r="F18" s="2"/>
      <c r="G18" s="17"/>
      <c r="H18" s="60"/>
      <c r="I18" s="60"/>
      <c r="J18" s="61"/>
      <c r="K18" s="2"/>
      <c r="L18" s="60"/>
      <c r="M18" s="60"/>
      <c r="N18" s="6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4.2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4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4.2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4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4.2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4.2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/>
    <row r="106" spans="2:27" ht="14.25" customHeight="1"/>
    <row r="107" spans="2:27" ht="14.25" customHeight="1"/>
    <row r="108" spans="2:27" ht="14.25" customHeight="1"/>
    <row r="109" spans="2:27" ht="14.25" customHeight="1"/>
    <row r="110" spans="2:27" ht="14.25" customHeight="1"/>
    <row r="111" spans="2:27" ht="14.25" customHeight="1"/>
    <row r="112" spans="2:27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</sheetData>
  <sheetProtection algorithmName="SHA-512" hashValue="Y79jQ4k13YN/VpAvCXsu9Un4DmC85M4eu4jrN061lF48zHcsMbmRSWaGHNeAMczrnzjf4/rw4AwGQh4Chgi8Pg==" saltValue="F3wkXgOjg4aq4lZVzpJC+Q==" spinCount="100000" sheet="1" objects="1" scenarios="1" selectLockedCells="1"/>
  <mergeCells count="3">
    <mergeCell ref="C4:E4"/>
    <mergeCell ref="H4:J4"/>
    <mergeCell ref="L4:N4"/>
  </mergeCells>
  <pageMargins left="0.7" right="0.7" top="0.78740157499999996" bottom="0.78740157499999996" header="0" footer="0"/>
  <pageSetup paperSize="9" scale="57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Z1000"/>
  <sheetViews>
    <sheetView workbookViewId="0">
      <selection activeCell="D21" sqref="D21"/>
    </sheetView>
  </sheetViews>
  <sheetFormatPr baseColWidth="10" defaultColWidth="14.42578125" defaultRowHeight="15" customHeight="1"/>
  <cols>
    <col min="1" max="1" width="7.28515625" customWidth="1"/>
    <col min="2" max="2" width="38.42578125" customWidth="1"/>
    <col min="3" max="14" width="11.42578125" customWidth="1"/>
    <col min="15" max="15" width="7.5703125" customWidth="1"/>
    <col min="16" max="16" width="4.7109375" customWidth="1"/>
    <col min="17" max="26" width="11.42578125" customWidth="1"/>
  </cols>
  <sheetData>
    <row r="1" spans="1:26" ht="14.2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4.2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4.2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4.2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4.25" customHeight="1">
      <c r="A5" s="44"/>
      <c r="B5" s="62" t="str">
        <f>"Selection: "&amp;S13</f>
        <v>Selection: Kenya (Kisumu)</v>
      </c>
      <c r="C5" s="62" t="str">
        <f>Translation!B33</f>
        <v>January</v>
      </c>
      <c r="D5" s="62" t="str">
        <f>Translation!B34</f>
        <v>February</v>
      </c>
      <c r="E5" s="62" t="str">
        <f>Translation!B35</f>
        <v>March</v>
      </c>
      <c r="F5" s="62" t="str">
        <f>Translation!B36</f>
        <v>April</v>
      </c>
      <c r="G5" s="62" t="str">
        <f>Translation!B37</f>
        <v>May</v>
      </c>
      <c r="H5" s="62" t="str">
        <f>Translation!B38</f>
        <v>June</v>
      </c>
      <c r="I5" s="62" t="str">
        <f>Translation!B39</f>
        <v>July</v>
      </c>
      <c r="J5" s="62" t="str">
        <f>Translation!B40</f>
        <v>August</v>
      </c>
      <c r="K5" s="62" t="str">
        <f>Translation!B41</f>
        <v>September</v>
      </c>
      <c r="L5" s="62" t="str">
        <f>Translation!B42</f>
        <v>October</v>
      </c>
      <c r="M5" s="62" t="str">
        <f>Translation!B43</f>
        <v>November</v>
      </c>
      <c r="N5" s="62" t="str">
        <f>Translation!B44</f>
        <v>December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4.25" customHeight="1">
      <c r="A6" s="44"/>
      <c r="B6" s="62" t="str">
        <f>Translation!B31</f>
        <v>Mean daily temperature [°C]:</v>
      </c>
      <c r="C6" s="111">
        <f t="shared" ref="C6:N6" si="0">INDEX(C14:C60,MATCH($S$13,$B$14:$B$59,0)+1)</f>
        <v>25</v>
      </c>
      <c r="D6" s="111">
        <f t="shared" si="0"/>
        <v>26</v>
      </c>
      <c r="E6" s="111">
        <f t="shared" si="0"/>
        <v>26</v>
      </c>
      <c r="F6" s="111">
        <f t="shared" si="0"/>
        <v>26</v>
      </c>
      <c r="G6" s="111">
        <f t="shared" si="0"/>
        <v>25</v>
      </c>
      <c r="H6" s="111">
        <f t="shared" si="0"/>
        <v>23</v>
      </c>
      <c r="I6" s="111">
        <f t="shared" si="0"/>
        <v>22</v>
      </c>
      <c r="J6" s="111">
        <f t="shared" si="0"/>
        <v>23</v>
      </c>
      <c r="K6" s="111">
        <f t="shared" si="0"/>
        <v>24</v>
      </c>
      <c r="L6" s="111">
        <f t="shared" si="0"/>
        <v>25</v>
      </c>
      <c r="M6" s="111">
        <f t="shared" si="0"/>
        <v>25</v>
      </c>
      <c r="N6" s="111">
        <f t="shared" si="0"/>
        <v>25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4.25" customHeight="1">
      <c r="A7" s="44"/>
      <c r="B7" s="62" t="str">
        <f>Translation!B32</f>
        <v>Solar irradiation [kWh/m² day]:</v>
      </c>
      <c r="C7" s="112">
        <f t="shared" ref="C7:N7" si="1">INDEX(C14:C62,MATCH($S$13,$B$14:$B$59,0)+3)</f>
        <v>6.8116129032258064</v>
      </c>
      <c r="D7" s="112">
        <f t="shared" si="1"/>
        <v>7.078214285714286</v>
      </c>
      <c r="E7" s="112">
        <f t="shared" si="1"/>
        <v>6.7087096774193551</v>
      </c>
      <c r="F7" s="112">
        <f t="shared" si="1"/>
        <v>6.2323333333333331</v>
      </c>
      <c r="G7" s="112">
        <f t="shared" si="1"/>
        <v>5.6677419354838703</v>
      </c>
      <c r="H7" s="112">
        <f t="shared" si="1"/>
        <v>5.6333333333333337</v>
      </c>
      <c r="I7" s="112">
        <f t="shared" si="1"/>
        <v>5.58</v>
      </c>
      <c r="J7" s="112">
        <f t="shared" si="1"/>
        <v>6.3667741935483875</v>
      </c>
      <c r="K7" s="112">
        <f t="shared" si="1"/>
        <v>6.093</v>
      </c>
      <c r="L7" s="112">
        <f t="shared" si="1"/>
        <v>6.5183870967741937</v>
      </c>
      <c r="M7" s="112">
        <f t="shared" si="1"/>
        <v>6.2610000000000001</v>
      </c>
      <c r="N7" s="112">
        <f t="shared" si="1"/>
        <v>6.7090322580645161</v>
      </c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4.25" customHeight="1">
      <c r="A8" s="44"/>
      <c r="B8" s="4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4.25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4.2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4.2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4.2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4.25" customHeight="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 t="s">
        <v>218</v>
      </c>
      <c r="R13" s="44"/>
      <c r="S13" s="113" t="str">
        <f>'1 Geographic Data'!B8</f>
        <v>Kenya (Kisumu)</v>
      </c>
      <c r="T13" s="44"/>
      <c r="U13" s="44"/>
      <c r="V13" s="44"/>
      <c r="W13" s="44"/>
      <c r="X13" s="44"/>
      <c r="Y13" s="44"/>
      <c r="Z13" s="44"/>
    </row>
    <row r="14" spans="1:26" ht="14.25" customHeight="1">
      <c r="A14" s="44"/>
      <c r="B14" s="141" t="s">
        <v>219</v>
      </c>
      <c r="C14" s="62" t="str">
        <f t="shared" ref="C14:N14" si="2">C5</f>
        <v>January</v>
      </c>
      <c r="D14" s="62" t="str">
        <f t="shared" si="2"/>
        <v>February</v>
      </c>
      <c r="E14" s="62" t="str">
        <f t="shared" si="2"/>
        <v>March</v>
      </c>
      <c r="F14" s="62" t="str">
        <f t="shared" si="2"/>
        <v>April</v>
      </c>
      <c r="G14" s="62" t="str">
        <f t="shared" si="2"/>
        <v>May</v>
      </c>
      <c r="H14" s="62" t="str">
        <f t="shared" si="2"/>
        <v>June</v>
      </c>
      <c r="I14" s="62" t="str">
        <f t="shared" si="2"/>
        <v>July</v>
      </c>
      <c r="J14" s="62" t="str">
        <f t="shared" si="2"/>
        <v>August</v>
      </c>
      <c r="K14" s="62" t="str">
        <f t="shared" si="2"/>
        <v>September</v>
      </c>
      <c r="L14" s="62" t="str">
        <f t="shared" si="2"/>
        <v>October</v>
      </c>
      <c r="M14" s="62" t="str">
        <f t="shared" si="2"/>
        <v>November</v>
      </c>
      <c r="N14" s="62" t="str">
        <f t="shared" si="2"/>
        <v>December</v>
      </c>
      <c r="O14" s="44"/>
      <c r="P14" s="44"/>
      <c r="Q14" s="62" t="s">
        <v>220</v>
      </c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4.25" customHeight="1">
      <c r="A15" s="44"/>
      <c r="B15" s="62" t="str">
        <f>B6</f>
        <v>Mean daily temperature [°C]:</v>
      </c>
      <c r="C15" s="136">
        <v>25</v>
      </c>
      <c r="D15" s="136">
        <v>26</v>
      </c>
      <c r="E15" s="136">
        <v>26</v>
      </c>
      <c r="F15" s="136">
        <v>26</v>
      </c>
      <c r="G15" s="136">
        <v>25</v>
      </c>
      <c r="H15" s="136">
        <v>23</v>
      </c>
      <c r="I15" s="136">
        <v>22</v>
      </c>
      <c r="J15" s="136">
        <v>23</v>
      </c>
      <c r="K15" s="136">
        <v>24</v>
      </c>
      <c r="L15" s="136">
        <v>25</v>
      </c>
      <c r="M15" s="136">
        <v>25</v>
      </c>
      <c r="N15" s="136">
        <v>25</v>
      </c>
      <c r="O15" s="44"/>
      <c r="P15" s="44"/>
      <c r="Q15" s="44"/>
      <c r="R15" s="44"/>
      <c r="S15" s="114" t="str">
        <f>B14</f>
        <v>Kenya (Kisumu)</v>
      </c>
      <c r="T15" s="44"/>
      <c r="U15" s="44"/>
      <c r="V15" s="44"/>
      <c r="W15" s="44"/>
      <c r="X15" s="44"/>
      <c r="Y15" s="44"/>
      <c r="Z15" s="44"/>
    </row>
    <row r="16" spans="1:26" ht="14.25" customHeight="1">
      <c r="A16" s="44"/>
      <c r="B16" s="62" t="s">
        <v>221</v>
      </c>
      <c r="C16" s="136">
        <v>211.16</v>
      </c>
      <c r="D16" s="136">
        <v>198.19</v>
      </c>
      <c r="E16" s="136">
        <v>207.97</v>
      </c>
      <c r="F16" s="136">
        <v>186.97</v>
      </c>
      <c r="G16" s="136">
        <v>175.7</v>
      </c>
      <c r="H16" s="136">
        <v>169</v>
      </c>
      <c r="I16" s="136">
        <v>172.98</v>
      </c>
      <c r="J16" s="136">
        <v>197.37</v>
      </c>
      <c r="K16" s="136">
        <v>182.79</v>
      </c>
      <c r="L16" s="136">
        <v>202.07</v>
      </c>
      <c r="M16" s="136">
        <v>187.83</v>
      </c>
      <c r="N16" s="136">
        <v>207.98</v>
      </c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4.25" customHeight="1">
      <c r="A17" s="44"/>
      <c r="B17" s="62" t="str">
        <f>B7</f>
        <v>Solar irradiation [kWh/m² day]:</v>
      </c>
      <c r="C17" s="137">
        <f>C16/31</f>
        <v>6.8116129032258064</v>
      </c>
      <c r="D17" s="137">
        <f>D16/28</f>
        <v>7.078214285714286</v>
      </c>
      <c r="E17" s="137">
        <f>E16/31</f>
        <v>6.7087096774193551</v>
      </c>
      <c r="F17" s="137">
        <f>F16/30</f>
        <v>6.2323333333333331</v>
      </c>
      <c r="G17" s="137">
        <f>G16/31</f>
        <v>5.6677419354838703</v>
      </c>
      <c r="H17" s="137">
        <f>H16/30</f>
        <v>5.6333333333333337</v>
      </c>
      <c r="I17" s="137">
        <f t="shared" ref="I17:J17" si="3">I16/31</f>
        <v>5.58</v>
      </c>
      <c r="J17" s="137">
        <f t="shared" si="3"/>
        <v>6.3667741935483875</v>
      </c>
      <c r="K17" s="137">
        <f>K16/30</f>
        <v>6.093</v>
      </c>
      <c r="L17" s="137">
        <f>L16/31</f>
        <v>6.5183870967741937</v>
      </c>
      <c r="M17" s="137">
        <f>M16/30</f>
        <v>6.2610000000000001</v>
      </c>
      <c r="N17" s="137">
        <f>N16/31</f>
        <v>6.7090322580645161</v>
      </c>
      <c r="O17" s="44"/>
      <c r="P17" s="44"/>
      <c r="Q17" s="44"/>
      <c r="R17" s="44"/>
      <c r="S17" s="114" t="str">
        <f>B19</f>
        <v>Mali (Bamako)</v>
      </c>
      <c r="T17" s="44"/>
      <c r="U17" s="44"/>
      <c r="V17" s="44"/>
      <c r="W17" s="44"/>
      <c r="X17" s="44"/>
      <c r="Y17" s="44"/>
      <c r="Z17" s="44"/>
    </row>
    <row r="18" spans="1:26" ht="14.2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114" t="str">
        <f>B24</f>
        <v>Benin (Porto Novo)</v>
      </c>
      <c r="T18" s="44"/>
      <c r="U18" s="44"/>
      <c r="V18" s="44"/>
      <c r="W18" s="44"/>
      <c r="X18" s="44"/>
      <c r="Y18" s="44"/>
      <c r="Z18" s="44"/>
    </row>
    <row r="19" spans="1:26" ht="14.25" customHeight="1">
      <c r="A19" s="44"/>
      <c r="B19" s="141" t="s">
        <v>222</v>
      </c>
      <c r="C19" s="62" t="str">
        <f t="shared" ref="C19:N19" si="4">C14</f>
        <v>January</v>
      </c>
      <c r="D19" s="62" t="str">
        <f t="shared" si="4"/>
        <v>February</v>
      </c>
      <c r="E19" s="62" t="str">
        <f t="shared" si="4"/>
        <v>March</v>
      </c>
      <c r="F19" s="62" t="str">
        <f t="shared" si="4"/>
        <v>April</v>
      </c>
      <c r="G19" s="62" t="str">
        <f t="shared" si="4"/>
        <v>May</v>
      </c>
      <c r="H19" s="62" t="str">
        <f t="shared" si="4"/>
        <v>June</v>
      </c>
      <c r="I19" s="62" t="str">
        <f t="shared" si="4"/>
        <v>July</v>
      </c>
      <c r="J19" s="62" t="str">
        <f t="shared" si="4"/>
        <v>August</v>
      </c>
      <c r="K19" s="62" t="str">
        <f t="shared" si="4"/>
        <v>September</v>
      </c>
      <c r="L19" s="62" t="str">
        <f t="shared" si="4"/>
        <v>October</v>
      </c>
      <c r="M19" s="62" t="str">
        <f t="shared" si="4"/>
        <v>November</v>
      </c>
      <c r="N19" s="62" t="str">
        <f t="shared" si="4"/>
        <v>December</v>
      </c>
      <c r="O19" s="44"/>
      <c r="P19" s="44"/>
      <c r="Q19" s="44"/>
      <c r="R19" s="44"/>
      <c r="S19" s="114" t="str">
        <f>B29</f>
        <v>Kigali (Rwanda)</v>
      </c>
      <c r="T19" s="44"/>
      <c r="U19" s="44"/>
      <c r="V19" s="44"/>
      <c r="W19" s="44"/>
      <c r="X19" s="44"/>
      <c r="Y19" s="44"/>
      <c r="Z19" s="44"/>
    </row>
    <row r="20" spans="1:26" ht="14.25" customHeight="1">
      <c r="A20" s="44"/>
      <c r="B20" s="62" t="str">
        <f>B15</f>
        <v>Mean daily temperature [°C]:</v>
      </c>
      <c r="C20" s="136">
        <v>25.1</v>
      </c>
      <c r="D20" s="136">
        <v>27.8</v>
      </c>
      <c r="E20" s="136">
        <v>30.3</v>
      </c>
      <c r="F20" s="136">
        <v>31.1</v>
      </c>
      <c r="G20" s="136">
        <v>31.5</v>
      </c>
      <c r="H20" s="136">
        <v>29</v>
      </c>
      <c r="I20" s="136">
        <v>27.4</v>
      </c>
      <c r="J20" s="136">
        <v>25.9</v>
      </c>
      <c r="K20" s="136">
        <v>26.4</v>
      </c>
      <c r="L20" s="136">
        <v>27.4</v>
      </c>
      <c r="M20" s="136">
        <v>26.5</v>
      </c>
      <c r="N20" s="136">
        <v>24.8</v>
      </c>
      <c r="O20" s="44"/>
      <c r="P20" s="44"/>
      <c r="Q20" s="44"/>
      <c r="R20" s="44"/>
      <c r="S20" s="114" t="str">
        <f>B34</f>
        <v>Ilorin (Nigeria)</v>
      </c>
      <c r="T20" s="44"/>
      <c r="U20" s="44"/>
      <c r="V20" s="44"/>
      <c r="W20" s="44"/>
      <c r="X20" s="44"/>
      <c r="Y20" s="44"/>
      <c r="Z20" s="44"/>
    </row>
    <row r="21" spans="1:26" ht="14.25" customHeight="1">
      <c r="A21" s="44"/>
      <c r="B21" s="62" t="s">
        <v>221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4.25" customHeight="1">
      <c r="A22" s="44"/>
      <c r="B22" s="62" t="str">
        <f>B17</f>
        <v>Solar irradiation [kWh/m² day]:</v>
      </c>
      <c r="C22" s="137">
        <v>5.4</v>
      </c>
      <c r="D22" s="137">
        <v>5.9</v>
      </c>
      <c r="E22" s="137">
        <v>6.9</v>
      </c>
      <c r="F22" s="137">
        <v>6.6</v>
      </c>
      <c r="G22" s="137">
        <v>6.4</v>
      </c>
      <c r="H22" s="137">
        <v>6.1</v>
      </c>
      <c r="I22" s="137">
        <v>5.8</v>
      </c>
      <c r="J22" s="137">
        <v>5.6</v>
      </c>
      <c r="K22" s="137">
        <v>5.8</v>
      </c>
      <c r="L22" s="137">
        <v>5.8</v>
      </c>
      <c r="M22" s="137">
        <v>5.7</v>
      </c>
      <c r="N22" s="137">
        <v>5.4</v>
      </c>
      <c r="O22" s="44"/>
      <c r="P22" s="44"/>
      <c r="Q22" s="44"/>
      <c r="R22" s="44"/>
      <c r="S22" s="114" t="str">
        <f>B39</f>
        <v>Lagos (Nigeria)</v>
      </c>
      <c r="T22" s="44"/>
      <c r="U22" s="44"/>
      <c r="V22" s="44"/>
      <c r="W22" s="44"/>
      <c r="X22" s="44"/>
      <c r="Y22" s="44"/>
      <c r="Z22" s="44"/>
    </row>
    <row r="23" spans="1:26" ht="14.2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14" t="str">
        <f>B44</f>
        <v>Mogadischu (Somalia)</v>
      </c>
      <c r="T23" s="44"/>
      <c r="U23" s="44"/>
      <c r="V23" s="44"/>
      <c r="W23" s="44"/>
      <c r="X23" s="44"/>
      <c r="Y23" s="44"/>
      <c r="Z23" s="44"/>
    </row>
    <row r="24" spans="1:26" ht="14.25" customHeight="1">
      <c r="A24" s="44"/>
      <c r="B24" s="141" t="s">
        <v>223</v>
      </c>
      <c r="C24" s="62" t="str">
        <f t="shared" ref="C24:N24" si="5">C14</f>
        <v>January</v>
      </c>
      <c r="D24" s="62" t="str">
        <f t="shared" si="5"/>
        <v>February</v>
      </c>
      <c r="E24" s="62" t="str">
        <f t="shared" si="5"/>
        <v>March</v>
      </c>
      <c r="F24" s="62" t="str">
        <f t="shared" si="5"/>
        <v>April</v>
      </c>
      <c r="G24" s="62" t="str">
        <f t="shared" si="5"/>
        <v>May</v>
      </c>
      <c r="H24" s="62" t="str">
        <f t="shared" si="5"/>
        <v>June</v>
      </c>
      <c r="I24" s="62" t="str">
        <f t="shared" si="5"/>
        <v>July</v>
      </c>
      <c r="J24" s="62" t="str">
        <f t="shared" si="5"/>
        <v>August</v>
      </c>
      <c r="K24" s="62" t="str">
        <f t="shared" si="5"/>
        <v>September</v>
      </c>
      <c r="L24" s="62" t="str">
        <f t="shared" si="5"/>
        <v>October</v>
      </c>
      <c r="M24" s="62" t="str">
        <f t="shared" si="5"/>
        <v>November</v>
      </c>
      <c r="N24" s="62" t="str">
        <f t="shared" si="5"/>
        <v>December</v>
      </c>
      <c r="O24" s="44"/>
      <c r="P24" s="44"/>
      <c r="Q24" s="44"/>
      <c r="R24" s="44"/>
      <c r="S24" s="114" t="str">
        <f>B49</f>
        <v>Tamale,Ghana</v>
      </c>
      <c r="T24" s="44"/>
      <c r="U24" s="44"/>
      <c r="V24" s="44"/>
      <c r="W24" s="44"/>
      <c r="X24" s="44"/>
      <c r="Y24" s="44"/>
      <c r="Z24" s="44"/>
    </row>
    <row r="25" spans="1:26" ht="14.25" customHeight="1">
      <c r="A25" s="44"/>
      <c r="B25" s="62" t="str">
        <f>B15</f>
        <v>Mean daily temperature [°C]:</v>
      </c>
      <c r="C25" s="136">
        <v>28</v>
      </c>
      <c r="D25" s="136">
        <v>29</v>
      </c>
      <c r="E25" s="136">
        <v>29.5</v>
      </c>
      <c r="F25" s="136">
        <v>29</v>
      </c>
      <c r="G25" s="136">
        <v>28</v>
      </c>
      <c r="H25" s="136">
        <v>27</v>
      </c>
      <c r="I25" s="136">
        <v>26</v>
      </c>
      <c r="J25" s="136">
        <v>26</v>
      </c>
      <c r="K25" s="136">
        <v>26.5</v>
      </c>
      <c r="L25" s="136">
        <v>27</v>
      </c>
      <c r="M25" s="136">
        <v>28</v>
      </c>
      <c r="N25" s="136">
        <v>28.5</v>
      </c>
      <c r="O25" s="44"/>
      <c r="P25" s="44"/>
      <c r="Q25" s="44"/>
      <c r="R25" s="44"/>
      <c r="S25" s="114" t="str">
        <f>B54</f>
        <v>Accra,Ghana</v>
      </c>
      <c r="T25" s="44"/>
      <c r="U25" s="44"/>
      <c r="V25" s="44"/>
      <c r="W25" s="44"/>
      <c r="X25" s="44"/>
      <c r="Y25" s="44"/>
      <c r="Z25" s="44"/>
    </row>
    <row r="26" spans="1:26" ht="14.25" customHeight="1">
      <c r="A26" s="44"/>
      <c r="B26" s="62" t="s">
        <v>221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4.25" customHeight="1">
      <c r="A27" s="44"/>
      <c r="B27" s="62" t="str">
        <f>B17</f>
        <v>Solar irradiation [kWh/m² day]:</v>
      </c>
      <c r="C27" s="136">
        <v>5.9290322580645167</v>
      </c>
      <c r="D27" s="136">
        <v>5.9285714285714288</v>
      </c>
      <c r="E27" s="136">
        <v>5.709677419354839</v>
      </c>
      <c r="F27" s="136">
        <v>5.8</v>
      </c>
      <c r="G27" s="136">
        <v>5.0838709677419356</v>
      </c>
      <c r="H27" s="136">
        <v>4.0166666666666666</v>
      </c>
      <c r="I27" s="136">
        <v>4.1354838709677413</v>
      </c>
      <c r="J27" s="136">
        <v>4.4290322580645167</v>
      </c>
      <c r="K27" s="136">
        <v>4.4066666666666663</v>
      </c>
      <c r="L27" s="136">
        <v>4.532258064516129</v>
      </c>
      <c r="M27" s="136">
        <v>5.2566666666666659</v>
      </c>
      <c r="N27" s="136">
        <v>5.7064516129032263</v>
      </c>
      <c r="O27" s="44"/>
      <c r="P27" s="44"/>
      <c r="Q27" s="44"/>
      <c r="R27" s="44"/>
      <c r="S27" s="114" t="str">
        <f>B59</f>
        <v>+++ Add location +++</v>
      </c>
      <c r="T27" s="44"/>
      <c r="U27" s="44"/>
      <c r="V27" s="44"/>
      <c r="W27" s="44"/>
      <c r="X27" s="44"/>
      <c r="Y27" s="44"/>
      <c r="Z27" s="44"/>
    </row>
    <row r="28" spans="1:26" ht="14.2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4.25" customHeight="1">
      <c r="A29" s="44"/>
      <c r="B29" s="141" t="s">
        <v>224</v>
      </c>
      <c r="C29" s="62" t="str">
        <f t="shared" ref="C29:N29" si="6">C14</f>
        <v>January</v>
      </c>
      <c r="D29" s="62" t="str">
        <f t="shared" si="6"/>
        <v>February</v>
      </c>
      <c r="E29" s="62" t="str">
        <f t="shared" si="6"/>
        <v>March</v>
      </c>
      <c r="F29" s="62" t="str">
        <f t="shared" si="6"/>
        <v>April</v>
      </c>
      <c r="G29" s="62" t="str">
        <f t="shared" si="6"/>
        <v>May</v>
      </c>
      <c r="H29" s="62" t="str">
        <f t="shared" si="6"/>
        <v>June</v>
      </c>
      <c r="I29" s="62" t="str">
        <f t="shared" si="6"/>
        <v>July</v>
      </c>
      <c r="J29" s="62" t="str">
        <f t="shared" si="6"/>
        <v>August</v>
      </c>
      <c r="K29" s="62" t="str">
        <f t="shared" si="6"/>
        <v>September</v>
      </c>
      <c r="L29" s="62" t="str">
        <f t="shared" si="6"/>
        <v>October</v>
      </c>
      <c r="M29" s="62" t="str">
        <f t="shared" si="6"/>
        <v>November</v>
      </c>
      <c r="N29" s="62" t="str">
        <f t="shared" si="6"/>
        <v>December</v>
      </c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4.25" customHeight="1">
      <c r="A30" s="44"/>
      <c r="B30" s="62" t="str">
        <f>B15</f>
        <v>Mean daily temperature [°C]:</v>
      </c>
      <c r="C30" s="136">
        <v>21.1</v>
      </c>
      <c r="D30" s="136">
        <v>20.6</v>
      </c>
      <c r="E30" s="136">
        <v>20.3</v>
      </c>
      <c r="F30" s="136">
        <v>19.899999999999999</v>
      </c>
      <c r="G30" s="136">
        <v>20</v>
      </c>
      <c r="H30" s="136">
        <v>20.2</v>
      </c>
      <c r="I30" s="136">
        <v>20.9</v>
      </c>
      <c r="J30" s="136">
        <v>21.8</v>
      </c>
      <c r="K30" s="136">
        <v>20.8</v>
      </c>
      <c r="L30" s="136">
        <v>19.899999999999999</v>
      </c>
      <c r="M30" s="136">
        <v>19.3</v>
      </c>
      <c r="N30" s="136">
        <v>18.899999999999999</v>
      </c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4.25" customHeight="1">
      <c r="A31" s="44"/>
      <c r="B31" s="62" t="s">
        <v>221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4.25" customHeight="1">
      <c r="A32" s="44"/>
      <c r="B32" s="62" t="str">
        <f>B17</f>
        <v>Solar irradiation [kWh/m² day]:</v>
      </c>
      <c r="C32" s="138">
        <v>4.7855737704918004</v>
      </c>
      <c r="D32" s="138">
        <v>5.2885245901639344</v>
      </c>
      <c r="E32" s="138">
        <v>5.5029508196721313</v>
      </c>
      <c r="F32" s="138">
        <v>4.5672131147540984</v>
      </c>
      <c r="G32" s="138">
        <v>5.2655737704918035</v>
      </c>
      <c r="H32" s="138">
        <v>4.9170491803278686</v>
      </c>
      <c r="I32" s="138">
        <v>5.412786885245902</v>
      </c>
      <c r="J32" s="138">
        <v>5.8016393442622949</v>
      </c>
      <c r="K32" s="138">
        <v>5.4281967213114752</v>
      </c>
      <c r="L32" s="138">
        <v>4.634098360655738</v>
      </c>
      <c r="M32" s="138">
        <v>4.8777049180327872</v>
      </c>
      <c r="N32" s="138">
        <v>5.3544262295081966</v>
      </c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4.2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4.25" customHeight="1">
      <c r="A34" s="44"/>
      <c r="B34" s="141" t="s">
        <v>225</v>
      </c>
      <c r="C34" s="62" t="str">
        <f t="shared" ref="C34:N34" si="7">C14</f>
        <v>January</v>
      </c>
      <c r="D34" s="62" t="str">
        <f t="shared" si="7"/>
        <v>February</v>
      </c>
      <c r="E34" s="62" t="str">
        <f t="shared" si="7"/>
        <v>March</v>
      </c>
      <c r="F34" s="62" t="str">
        <f t="shared" si="7"/>
        <v>April</v>
      </c>
      <c r="G34" s="62" t="str">
        <f t="shared" si="7"/>
        <v>May</v>
      </c>
      <c r="H34" s="62" t="str">
        <f t="shared" si="7"/>
        <v>June</v>
      </c>
      <c r="I34" s="62" t="str">
        <f t="shared" si="7"/>
        <v>July</v>
      </c>
      <c r="J34" s="62" t="str">
        <f t="shared" si="7"/>
        <v>August</v>
      </c>
      <c r="K34" s="62" t="str">
        <f t="shared" si="7"/>
        <v>September</v>
      </c>
      <c r="L34" s="62" t="str">
        <f t="shared" si="7"/>
        <v>October</v>
      </c>
      <c r="M34" s="62" t="str">
        <f t="shared" si="7"/>
        <v>November</v>
      </c>
      <c r="N34" s="62" t="str">
        <f t="shared" si="7"/>
        <v>December</v>
      </c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4.25" customHeight="1">
      <c r="A35" s="44"/>
      <c r="B35" s="62" t="str">
        <f>B15</f>
        <v>Mean daily temperature [°C]:</v>
      </c>
      <c r="C35" s="139">
        <v>27.2</v>
      </c>
      <c r="D35" s="139">
        <v>28.5</v>
      </c>
      <c r="E35" s="139">
        <v>29.4</v>
      </c>
      <c r="F35" s="139">
        <v>29.2</v>
      </c>
      <c r="G35" s="139">
        <v>27.8</v>
      </c>
      <c r="H35" s="139">
        <v>25.9</v>
      </c>
      <c r="I35" s="139">
        <v>24.2</v>
      </c>
      <c r="J35" s="139">
        <v>24.4</v>
      </c>
      <c r="K35" s="139">
        <v>24.1</v>
      </c>
      <c r="L35" s="139">
        <v>25.5</v>
      </c>
      <c r="M35" s="139">
        <v>27.4</v>
      </c>
      <c r="N35" s="139">
        <v>26.9</v>
      </c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4.25" customHeight="1">
      <c r="A36" s="44"/>
      <c r="B36" s="62" t="s">
        <v>221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4.25" customHeight="1">
      <c r="A37" s="44"/>
      <c r="B37" s="62" t="str">
        <f>B17</f>
        <v>Solar irradiation [kWh/m² day]:</v>
      </c>
      <c r="C37" s="137">
        <f>192/31</f>
        <v>6.193548387096774</v>
      </c>
      <c r="D37" s="137">
        <f>194/30</f>
        <v>6.4666666666666668</v>
      </c>
      <c r="E37" s="137">
        <f>191.93/31</f>
        <v>6.1912903225806453</v>
      </c>
      <c r="F37" s="137">
        <f>190.4/30</f>
        <v>6.3466666666666667</v>
      </c>
      <c r="G37" s="137">
        <f>176.7/31</f>
        <v>5.6999999999999993</v>
      </c>
      <c r="H37" s="137">
        <f>152.2/30</f>
        <v>5.0733333333333333</v>
      </c>
      <c r="I37" s="137">
        <f>135.74731/31</f>
        <v>4.378945483870968</v>
      </c>
      <c r="J37" s="137">
        <f>135.4/30</f>
        <v>4.5133333333333336</v>
      </c>
      <c r="K37" s="137">
        <f>136.8/31</f>
        <v>4.4129032258064518</v>
      </c>
      <c r="L37" s="137">
        <f>178.75/31</f>
        <v>5.7661290322580649</v>
      </c>
      <c r="M37" s="137">
        <f>186/30</f>
        <v>6.2</v>
      </c>
      <c r="N37" s="137">
        <f>187/31</f>
        <v>6.032258064516129</v>
      </c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4.2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4.25" customHeight="1">
      <c r="A39" s="44"/>
      <c r="B39" s="141" t="s">
        <v>226</v>
      </c>
      <c r="C39" s="62" t="str">
        <f t="shared" ref="C39:N39" si="8">C14</f>
        <v>January</v>
      </c>
      <c r="D39" s="62" t="str">
        <f t="shared" si="8"/>
        <v>February</v>
      </c>
      <c r="E39" s="62" t="str">
        <f t="shared" si="8"/>
        <v>March</v>
      </c>
      <c r="F39" s="62" t="str">
        <f t="shared" si="8"/>
        <v>April</v>
      </c>
      <c r="G39" s="62" t="str">
        <f t="shared" si="8"/>
        <v>May</v>
      </c>
      <c r="H39" s="62" t="str">
        <f t="shared" si="8"/>
        <v>June</v>
      </c>
      <c r="I39" s="62" t="str">
        <f t="shared" si="8"/>
        <v>July</v>
      </c>
      <c r="J39" s="62" t="str">
        <f t="shared" si="8"/>
        <v>August</v>
      </c>
      <c r="K39" s="62" t="str">
        <f t="shared" si="8"/>
        <v>September</v>
      </c>
      <c r="L39" s="62" t="str">
        <f t="shared" si="8"/>
        <v>October</v>
      </c>
      <c r="M39" s="62" t="str">
        <f t="shared" si="8"/>
        <v>November</v>
      </c>
      <c r="N39" s="62" t="str">
        <f t="shared" si="8"/>
        <v>December</v>
      </c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4.25" customHeight="1">
      <c r="A40" s="44"/>
      <c r="B40" s="62" t="str">
        <f>B15</f>
        <v>Mean daily temperature [°C]:</v>
      </c>
      <c r="C40" s="139">
        <v>27.9</v>
      </c>
      <c r="D40" s="139">
        <v>28.2</v>
      </c>
      <c r="E40" s="139">
        <v>28.2</v>
      </c>
      <c r="F40" s="139">
        <v>27.8</v>
      </c>
      <c r="G40" s="139">
        <v>26.6</v>
      </c>
      <c r="H40" s="139">
        <v>25.6</v>
      </c>
      <c r="I40" s="139">
        <v>24.9</v>
      </c>
      <c r="J40" s="139">
        <v>24.7</v>
      </c>
      <c r="K40" s="139">
        <v>25.3</v>
      </c>
      <c r="L40" s="139">
        <v>26.3</v>
      </c>
      <c r="M40" s="139">
        <v>27.3</v>
      </c>
      <c r="N40" s="139">
        <v>26.6</v>
      </c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4.25" customHeight="1">
      <c r="A41" s="44"/>
      <c r="B41" s="62" t="s">
        <v>221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4.25" customHeight="1">
      <c r="A42" s="44"/>
      <c r="B42" s="62" t="str">
        <f>B17</f>
        <v>Solar irradiation [kWh/m² day]:</v>
      </c>
      <c r="C42" s="137">
        <f>185.8/31</f>
        <v>5.9935483870967747</v>
      </c>
      <c r="D42" s="137">
        <f>166.2/30</f>
        <v>5.54</v>
      </c>
      <c r="E42" s="137">
        <f>186/31</f>
        <v>6</v>
      </c>
      <c r="F42" s="137">
        <f>168.8/30</f>
        <v>5.6266666666666669</v>
      </c>
      <c r="G42" s="137">
        <f>163.13/31</f>
        <v>5.2622580645161285</v>
      </c>
      <c r="H42" s="137">
        <f>119/30</f>
        <v>3.9666666666666668</v>
      </c>
      <c r="I42" s="137">
        <f>122/31</f>
        <v>3.935483870967742</v>
      </c>
      <c r="J42" s="137">
        <f>159/30</f>
        <v>5.3</v>
      </c>
      <c r="K42" s="137">
        <f>153.59/31</f>
        <v>4.9545161290322586</v>
      </c>
      <c r="L42" s="137">
        <f>161/30</f>
        <v>5.3666666666666663</v>
      </c>
      <c r="M42" s="137">
        <f>170.7/31</f>
        <v>5.5064516129032253</v>
      </c>
      <c r="N42" s="137">
        <f>174.5/31</f>
        <v>5.629032258064516</v>
      </c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4.2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4.25" customHeight="1">
      <c r="A44" s="44"/>
      <c r="B44" s="141" t="s">
        <v>227</v>
      </c>
      <c r="C44" s="62" t="str">
        <f t="shared" ref="C44:N44" si="9">C14</f>
        <v>January</v>
      </c>
      <c r="D44" s="62" t="str">
        <f t="shared" si="9"/>
        <v>February</v>
      </c>
      <c r="E44" s="62" t="str">
        <f t="shared" si="9"/>
        <v>March</v>
      </c>
      <c r="F44" s="62" t="str">
        <f t="shared" si="9"/>
        <v>April</v>
      </c>
      <c r="G44" s="62" t="str">
        <f t="shared" si="9"/>
        <v>May</v>
      </c>
      <c r="H44" s="62" t="str">
        <f t="shared" si="9"/>
        <v>June</v>
      </c>
      <c r="I44" s="62" t="str">
        <f t="shared" si="9"/>
        <v>July</v>
      </c>
      <c r="J44" s="62" t="str">
        <f t="shared" si="9"/>
        <v>August</v>
      </c>
      <c r="K44" s="62" t="str">
        <f t="shared" si="9"/>
        <v>September</v>
      </c>
      <c r="L44" s="62" t="str">
        <f t="shared" si="9"/>
        <v>October</v>
      </c>
      <c r="M44" s="62" t="str">
        <f t="shared" si="9"/>
        <v>November</v>
      </c>
      <c r="N44" s="62" t="str">
        <f t="shared" si="9"/>
        <v>December</v>
      </c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4.25" customHeight="1">
      <c r="A45" s="44"/>
      <c r="B45" s="62" t="str">
        <f>B15</f>
        <v>Mean daily temperature [°C]:</v>
      </c>
      <c r="C45" s="139">
        <v>27</v>
      </c>
      <c r="D45" s="139">
        <v>26.3</v>
      </c>
      <c r="E45" s="139">
        <v>27.2</v>
      </c>
      <c r="F45" s="139">
        <v>28.2</v>
      </c>
      <c r="G45" s="139">
        <v>27.2</v>
      </c>
      <c r="H45" s="139">
        <v>25.9</v>
      </c>
      <c r="I45" s="139">
        <v>24.7</v>
      </c>
      <c r="J45" s="139">
        <v>24.6</v>
      </c>
      <c r="K45" s="139">
        <v>25.5</v>
      </c>
      <c r="L45" s="139">
        <v>26</v>
      </c>
      <c r="M45" s="139">
        <v>26.3</v>
      </c>
      <c r="N45" s="139">
        <v>25.7</v>
      </c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4.25" customHeight="1">
      <c r="A46" s="44"/>
      <c r="B46" s="62" t="s">
        <v>221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4.25" customHeight="1">
      <c r="A47" s="44"/>
      <c r="B47" s="62" t="str">
        <f>B17</f>
        <v>Solar irradiation [kWh/m² day]:</v>
      </c>
      <c r="C47" s="137">
        <f>215/31</f>
        <v>6.935483870967742</v>
      </c>
      <c r="D47" s="137">
        <f>203/30</f>
        <v>6.7666666666666666</v>
      </c>
      <c r="E47" s="137">
        <f>224/31</f>
        <v>7.225806451612903</v>
      </c>
      <c r="F47" s="137">
        <f>201/30</f>
        <v>6.7</v>
      </c>
      <c r="G47" s="137">
        <f>184/31</f>
        <v>5.935483870967742</v>
      </c>
      <c r="H47" s="137">
        <f>177/30</f>
        <v>5.9</v>
      </c>
      <c r="I47" s="137">
        <f>177/31</f>
        <v>5.709677419354839</v>
      </c>
      <c r="J47" s="137">
        <f>198/30</f>
        <v>6.6</v>
      </c>
      <c r="K47" s="137">
        <f>207/31</f>
        <v>6.67741935483871</v>
      </c>
      <c r="L47" s="137">
        <f>205/30</f>
        <v>6.833333333333333</v>
      </c>
      <c r="M47" s="137">
        <f>195/30</f>
        <v>6.5</v>
      </c>
      <c r="N47" s="137">
        <f>208/31</f>
        <v>6.709677419354839</v>
      </c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4.2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4.25" customHeight="1">
      <c r="A49" s="44"/>
      <c r="B49" s="141" t="s">
        <v>228</v>
      </c>
      <c r="C49" s="62" t="str">
        <f t="shared" ref="C49:N49" si="10">C14</f>
        <v>January</v>
      </c>
      <c r="D49" s="62" t="str">
        <f t="shared" si="10"/>
        <v>February</v>
      </c>
      <c r="E49" s="62" t="str">
        <f t="shared" si="10"/>
        <v>March</v>
      </c>
      <c r="F49" s="62" t="str">
        <f t="shared" si="10"/>
        <v>April</v>
      </c>
      <c r="G49" s="62" t="str">
        <f t="shared" si="10"/>
        <v>May</v>
      </c>
      <c r="H49" s="62" t="str">
        <f t="shared" si="10"/>
        <v>June</v>
      </c>
      <c r="I49" s="62" t="str">
        <f t="shared" si="10"/>
        <v>July</v>
      </c>
      <c r="J49" s="62" t="str">
        <f t="shared" si="10"/>
        <v>August</v>
      </c>
      <c r="K49" s="62" t="str">
        <f t="shared" si="10"/>
        <v>September</v>
      </c>
      <c r="L49" s="62" t="str">
        <f t="shared" si="10"/>
        <v>October</v>
      </c>
      <c r="M49" s="62" t="str">
        <f t="shared" si="10"/>
        <v>November</v>
      </c>
      <c r="N49" s="62" t="str">
        <f t="shared" si="10"/>
        <v>December</v>
      </c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4.25" customHeight="1">
      <c r="A50" s="44"/>
      <c r="B50" s="62" t="str">
        <f>B15</f>
        <v>Mean daily temperature [°C]:</v>
      </c>
      <c r="C50" s="137">
        <v>29.1</v>
      </c>
      <c r="D50" s="137">
        <v>30</v>
      </c>
      <c r="E50" s="137">
        <v>32.6</v>
      </c>
      <c r="F50" s="137">
        <v>31.9</v>
      </c>
      <c r="G50" s="137">
        <v>30.7</v>
      </c>
      <c r="H50" s="137">
        <v>28.3</v>
      </c>
      <c r="I50" s="137">
        <v>25.8</v>
      </c>
      <c r="J50" s="137">
        <v>26.1</v>
      </c>
      <c r="K50" s="137">
        <v>25.6</v>
      </c>
      <c r="L50" s="137">
        <v>26.9</v>
      </c>
      <c r="M50" s="137">
        <v>28.4</v>
      </c>
      <c r="N50" s="137">
        <v>27.8</v>
      </c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4.25" customHeight="1">
      <c r="A51" s="44"/>
      <c r="B51" s="62" t="s">
        <v>221</v>
      </c>
      <c r="C51" s="137">
        <v>194.05</v>
      </c>
      <c r="D51" s="137">
        <v>196.61</v>
      </c>
      <c r="E51" s="137">
        <v>200.37</v>
      </c>
      <c r="F51" s="137">
        <v>192.27</v>
      </c>
      <c r="G51" s="137">
        <v>195.74</v>
      </c>
      <c r="H51" s="137">
        <v>163.19</v>
      </c>
      <c r="I51" s="137">
        <v>156.18</v>
      </c>
      <c r="J51" s="137">
        <v>159.66</v>
      </c>
      <c r="K51" s="137">
        <v>146.33000000000001</v>
      </c>
      <c r="L51" s="137">
        <v>184.81</v>
      </c>
      <c r="M51" s="140">
        <v>186.09</v>
      </c>
      <c r="N51" s="137">
        <v>188.35</v>
      </c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4.25" customHeight="1">
      <c r="A52" s="44"/>
      <c r="B52" s="62" t="str">
        <f>B17</f>
        <v>Solar irradiation [kWh/m² day]:</v>
      </c>
      <c r="C52" s="137">
        <f>C51/31</f>
        <v>6.2596774193548388</v>
      </c>
      <c r="D52" s="137">
        <f>D51/28</f>
        <v>7.0217857142857145</v>
      </c>
      <c r="E52" s="137">
        <f>E51/31</f>
        <v>6.4635483870967745</v>
      </c>
      <c r="F52" s="137">
        <f>F51/30</f>
        <v>6.4090000000000007</v>
      </c>
      <c r="G52" s="137">
        <f>G51/31</f>
        <v>6.314193548387097</v>
      </c>
      <c r="H52" s="137">
        <f>H51/30</f>
        <v>5.4396666666666667</v>
      </c>
      <c r="I52" s="137">
        <f t="shared" ref="I52:J52" si="11">I51/31</f>
        <v>5.0380645161290323</v>
      </c>
      <c r="J52" s="137">
        <f t="shared" si="11"/>
        <v>5.1503225806451614</v>
      </c>
      <c r="K52" s="137">
        <f>K51/30</f>
        <v>4.8776666666666673</v>
      </c>
      <c r="L52" s="137">
        <f>L51/31</f>
        <v>5.9616129032258067</v>
      </c>
      <c r="M52" s="137">
        <f>M51/30</f>
        <v>6.2030000000000003</v>
      </c>
      <c r="N52" s="137">
        <f>N51/31</f>
        <v>6.0758064516129027</v>
      </c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4.2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4.25" customHeight="1">
      <c r="A54" s="44"/>
      <c r="B54" s="141" t="s">
        <v>10</v>
      </c>
      <c r="C54" s="62" t="str">
        <f t="shared" ref="C54:N54" si="12">C14</f>
        <v>January</v>
      </c>
      <c r="D54" s="62" t="str">
        <f t="shared" si="12"/>
        <v>February</v>
      </c>
      <c r="E54" s="62" t="str">
        <f t="shared" si="12"/>
        <v>March</v>
      </c>
      <c r="F54" s="62" t="str">
        <f t="shared" si="12"/>
        <v>April</v>
      </c>
      <c r="G54" s="62" t="str">
        <f t="shared" si="12"/>
        <v>May</v>
      </c>
      <c r="H54" s="62" t="str">
        <f t="shared" si="12"/>
        <v>June</v>
      </c>
      <c r="I54" s="62" t="str">
        <f t="shared" si="12"/>
        <v>July</v>
      </c>
      <c r="J54" s="62" t="str">
        <f t="shared" si="12"/>
        <v>August</v>
      </c>
      <c r="K54" s="62" t="str">
        <f t="shared" si="12"/>
        <v>September</v>
      </c>
      <c r="L54" s="62" t="str">
        <f t="shared" si="12"/>
        <v>October</v>
      </c>
      <c r="M54" s="62" t="str">
        <f t="shared" si="12"/>
        <v>November</v>
      </c>
      <c r="N54" s="62" t="str">
        <f t="shared" si="12"/>
        <v>December</v>
      </c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4.25" customHeight="1">
      <c r="A55" s="44"/>
      <c r="B55" s="62" t="str">
        <f>B15</f>
        <v>Mean daily temperature [°C]:</v>
      </c>
      <c r="C55" s="139">
        <v>24.5</v>
      </c>
      <c r="D55" s="139">
        <v>25.8</v>
      </c>
      <c r="E55" s="139">
        <v>23.7</v>
      </c>
      <c r="F55" s="139">
        <v>24</v>
      </c>
      <c r="G55" s="139">
        <v>22.1</v>
      </c>
      <c r="H55" s="139">
        <v>22.4</v>
      </c>
      <c r="I55" s="139">
        <v>22.6</v>
      </c>
      <c r="J55" s="139">
        <v>22.5</v>
      </c>
      <c r="K55" s="139">
        <v>23.5</v>
      </c>
      <c r="L55" s="139">
        <v>23.2</v>
      </c>
      <c r="M55" s="139">
        <v>23.6</v>
      </c>
      <c r="N55" s="139">
        <v>24</v>
      </c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4.25" customHeight="1">
      <c r="A56" s="44"/>
      <c r="B56" s="62" t="s">
        <v>221</v>
      </c>
      <c r="C56" s="137">
        <v>211.16</v>
      </c>
      <c r="D56" s="137">
        <v>198.19</v>
      </c>
      <c r="E56" s="137">
        <v>207.97</v>
      </c>
      <c r="F56" s="137">
        <v>186.97</v>
      </c>
      <c r="G56" s="137">
        <v>175.7</v>
      </c>
      <c r="H56" s="137">
        <v>169</v>
      </c>
      <c r="I56" s="137">
        <v>172.98</v>
      </c>
      <c r="J56" s="137">
        <v>197.37</v>
      </c>
      <c r="K56" s="137">
        <v>182.79</v>
      </c>
      <c r="L56" s="137">
        <v>202.07</v>
      </c>
      <c r="M56" s="137">
        <v>187.83</v>
      </c>
      <c r="N56" s="137">
        <v>207.98</v>
      </c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4.25" customHeight="1">
      <c r="A57" s="44"/>
      <c r="B57" s="62" t="str">
        <f>B17</f>
        <v>Solar irradiation [kWh/m² day]:</v>
      </c>
      <c r="C57" s="137">
        <f>C56/31</f>
        <v>6.8116129032258064</v>
      </c>
      <c r="D57" s="137">
        <f>D56/28</f>
        <v>7.078214285714286</v>
      </c>
      <c r="E57" s="137">
        <f>E56/31</f>
        <v>6.7087096774193551</v>
      </c>
      <c r="F57" s="137">
        <f>F56/30</f>
        <v>6.2323333333333331</v>
      </c>
      <c r="G57" s="137">
        <f>G56/31</f>
        <v>5.6677419354838703</v>
      </c>
      <c r="H57" s="137">
        <f>H56/30</f>
        <v>5.6333333333333337</v>
      </c>
      <c r="I57" s="137">
        <f t="shared" ref="I57:J57" si="13">I56/31</f>
        <v>5.58</v>
      </c>
      <c r="J57" s="137">
        <f t="shared" si="13"/>
        <v>6.3667741935483875</v>
      </c>
      <c r="K57" s="137">
        <f>K56/30</f>
        <v>6.093</v>
      </c>
      <c r="L57" s="137">
        <f>L56/31</f>
        <v>6.5183870967741937</v>
      </c>
      <c r="M57" s="137">
        <f>M56/30</f>
        <v>6.2610000000000001</v>
      </c>
      <c r="N57" s="137">
        <f>N56/31</f>
        <v>6.7090322580645161</v>
      </c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4.2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4.25" customHeight="1">
      <c r="A59" s="44"/>
      <c r="B59" s="141" t="s">
        <v>229</v>
      </c>
      <c r="C59" s="62" t="str">
        <f t="shared" ref="C59:N59" si="14">C14</f>
        <v>January</v>
      </c>
      <c r="D59" s="62" t="str">
        <f t="shared" si="14"/>
        <v>February</v>
      </c>
      <c r="E59" s="62" t="str">
        <f t="shared" si="14"/>
        <v>March</v>
      </c>
      <c r="F59" s="62" t="str">
        <f t="shared" si="14"/>
        <v>April</v>
      </c>
      <c r="G59" s="62" t="str">
        <f t="shared" si="14"/>
        <v>May</v>
      </c>
      <c r="H59" s="62" t="str">
        <f t="shared" si="14"/>
        <v>June</v>
      </c>
      <c r="I59" s="62" t="str">
        <f t="shared" si="14"/>
        <v>July</v>
      </c>
      <c r="J59" s="62" t="str">
        <f t="shared" si="14"/>
        <v>August</v>
      </c>
      <c r="K59" s="62" t="str">
        <f t="shared" si="14"/>
        <v>September</v>
      </c>
      <c r="L59" s="62" t="str">
        <f t="shared" si="14"/>
        <v>October</v>
      </c>
      <c r="M59" s="62" t="str">
        <f t="shared" si="14"/>
        <v>November</v>
      </c>
      <c r="N59" s="62" t="str">
        <f t="shared" si="14"/>
        <v>December</v>
      </c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4.25" customHeight="1">
      <c r="A60" s="44"/>
      <c r="B60" s="62" t="str">
        <f>B15</f>
        <v>Mean daily temperature [°C]: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4.25" customHeight="1">
      <c r="A61" s="44"/>
      <c r="B61" s="62" t="s">
        <v>221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4.25" customHeight="1">
      <c r="A62" s="44"/>
      <c r="B62" s="62" t="str">
        <f>B17</f>
        <v>Solar irradiation [kWh/m² day]:</v>
      </c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4.2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4.2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4.2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4.2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4.2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4.2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4.2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4.2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4.2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4.2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4.2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4.2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4.2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4.2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4.2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4.2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4.2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4.2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4.2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4.2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4.2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4.2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4.2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4.2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4.2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4.2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4.2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4.2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4.2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4.2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4.2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4.2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4.2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4.2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4.2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4.2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4.2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4.2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4.2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4.2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4.2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4.2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4.2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4.2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4.2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4.2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4.2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4.2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4.25" customHeight="1"/>
    <row r="112" spans="1:2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liuJEL0kA/DoSnnZo7iRX1kKZzut6G8Xdjpd1b1mjYiXPhcKW9UJT97dKSM4dn/LDB9mtmdviGJlDWAbyI0phA==" saltValue="jwfOR/2OyYSqukxm0wSefQ==" spinCount="100000" sheet="1" objects="1" scenarios="1" selectLockedCells="1"/>
  <pageMargins left="0.7" right="0.7" top="0.78740157499999996" bottom="0.7874015749999999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topLeftCell="A10" workbookViewId="0">
      <selection activeCell="E29" sqref="E29"/>
    </sheetView>
  </sheetViews>
  <sheetFormatPr baseColWidth="10" defaultColWidth="14.42578125" defaultRowHeight="15" customHeight="1"/>
  <cols>
    <col min="1" max="1" width="11.42578125" customWidth="1"/>
    <col min="2" max="2" width="29.7109375" customWidth="1"/>
    <col min="3" max="4" width="11.42578125" customWidth="1"/>
    <col min="5" max="5" width="34.42578125" customWidth="1"/>
    <col min="6" max="6" width="27" customWidth="1"/>
    <col min="7" max="7" width="28" customWidth="1"/>
    <col min="8" max="8" width="26" customWidth="1"/>
    <col min="9" max="26" width="11.42578125" customWidth="1"/>
  </cols>
  <sheetData>
    <row r="1" spans="1:10" ht="14.25" customHeight="1">
      <c r="A1" s="44"/>
      <c r="B1" s="44"/>
      <c r="C1" s="44"/>
      <c r="D1" s="44"/>
      <c r="E1" s="44"/>
      <c r="F1" s="44"/>
      <c r="G1" s="44"/>
      <c r="H1" s="44"/>
      <c r="I1" s="44"/>
      <c r="J1" s="44"/>
    </row>
    <row r="2" spans="1:10" ht="14.25" customHeight="1">
      <c r="A2" s="44"/>
      <c r="B2" s="44" t="s">
        <v>230</v>
      </c>
      <c r="C2" s="44" t="str">
        <f>'READ ME'!F4</f>
        <v>English</v>
      </c>
      <c r="D2" s="44"/>
      <c r="E2" s="44"/>
      <c r="F2" s="44"/>
      <c r="G2" s="44"/>
      <c r="H2" s="44"/>
      <c r="I2" s="44"/>
      <c r="J2" s="44"/>
    </row>
    <row r="3" spans="1:10" ht="14.25" customHeight="1">
      <c r="A3" s="44"/>
      <c r="B3" s="44" t="s">
        <v>231</v>
      </c>
      <c r="C3" s="44">
        <f>MATCH(C2,E5:H5,0)</f>
        <v>1</v>
      </c>
      <c r="D3" s="44"/>
      <c r="E3" s="44"/>
      <c r="F3" s="44"/>
      <c r="G3" s="44"/>
      <c r="H3" s="44"/>
      <c r="I3" s="44"/>
      <c r="J3" s="44"/>
    </row>
    <row r="4" spans="1:10" ht="14.25" customHeight="1">
      <c r="A4" s="44"/>
      <c r="B4" s="44"/>
      <c r="C4" s="44"/>
      <c r="D4" s="44"/>
      <c r="E4" s="115">
        <v>1</v>
      </c>
      <c r="F4" s="115">
        <v>2</v>
      </c>
      <c r="G4" s="115">
        <v>3</v>
      </c>
      <c r="H4" s="115">
        <v>4</v>
      </c>
      <c r="I4" s="44"/>
      <c r="J4" s="44"/>
    </row>
    <row r="5" spans="1:10" ht="14.25" customHeight="1">
      <c r="A5" s="44"/>
      <c r="B5" s="44" t="s">
        <v>232</v>
      </c>
      <c r="C5" s="44"/>
      <c r="D5" s="44"/>
      <c r="E5" s="44" t="s">
        <v>1</v>
      </c>
      <c r="F5" s="44" t="s">
        <v>233</v>
      </c>
      <c r="G5" s="44" t="s">
        <v>234</v>
      </c>
      <c r="H5" s="44" t="s">
        <v>235</v>
      </c>
      <c r="I5" s="44"/>
      <c r="J5" s="44"/>
    </row>
    <row r="6" spans="1:10" ht="15" customHeight="1">
      <c r="A6" s="44"/>
      <c r="B6" s="116" t="str">
        <f t="shared" ref="B6:B142" si="0">INDEX(E6:H6,$C$3)</f>
        <v>Solar Powered Cold &amp; Freezing Rooms with Monoblocs
Design Toolbox</v>
      </c>
      <c r="C6" s="245" t="s">
        <v>236</v>
      </c>
      <c r="D6" s="205"/>
      <c r="E6" s="117" t="s">
        <v>237</v>
      </c>
      <c r="F6" s="118" t="s">
        <v>238</v>
      </c>
      <c r="G6" s="118"/>
      <c r="H6" s="118"/>
      <c r="I6" s="44"/>
      <c r="J6" s="44"/>
    </row>
    <row r="7" spans="1:10" ht="14.25" customHeight="1">
      <c r="A7" s="44"/>
      <c r="B7" s="116" t="str">
        <f t="shared" si="0"/>
        <v xml:space="preserve">Read Me Sheet </v>
      </c>
      <c r="C7" s="246"/>
      <c r="D7" s="247"/>
      <c r="E7" s="119" t="s">
        <v>239</v>
      </c>
      <c r="F7" s="120" t="s">
        <v>240</v>
      </c>
      <c r="G7" s="120"/>
      <c r="H7" s="120"/>
      <c r="I7" s="44"/>
      <c r="J7" s="44"/>
    </row>
    <row r="8" spans="1:10" ht="14.25" customHeight="1">
      <c r="A8" s="44"/>
      <c r="B8" s="116" t="str">
        <f t="shared" si="0"/>
        <v>Introduction</v>
      </c>
      <c r="C8" s="246"/>
      <c r="D8" s="247"/>
      <c r="E8" s="119" t="s">
        <v>241</v>
      </c>
      <c r="F8" s="120" t="s">
        <v>241</v>
      </c>
      <c r="G8" s="120"/>
      <c r="H8" s="120"/>
      <c r="I8" s="44"/>
      <c r="J8" s="44"/>
    </row>
    <row r="9" spans="1:10" ht="14.25" customHeight="1">
      <c r="A9" s="44"/>
      <c r="B9" s="121" t="str">
        <f t="shared" si="0"/>
        <v>This tool calculates the required solar system for a cold/freezing room run by monoblocs. Exemplary data is filled and can be modified by own data</v>
      </c>
      <c r="C9" s="246"/>
      <c r="D9" s="247"/>
      <c r="E9" s="122" t="s">
        <v>242</v>
      </c>
      <c r="F9" s="120" t="s">
        <v>243</v>
      </c>
      <c r="G9" s="120"/>
      <c r="H9" s="120"/>
      <c r="I9" s="44"/>
      <c r="J9" s="44"/>
    </row>
    <row r="10" spans="1:10" ht="14.25" customHeight="1">
      <c r="A10" s="44"/>
      <c r="B10" s="116" t="str">
        <f t="shared" si="0"/>
        <v>Tips &amp; Tricks</v>
      </c>
      <c r="C10" s="246"/>
      <c r="D10" s="247"/>
      <c r="E10" s="119" t="s">
        <v>244</v>
      </c>
      <c r="F10" s="120" t="s">
        <v>245</v>
      </c>
      <c r="G10" s="120"/>
      <c r="H10" s="120"/>
      <c r="I10" s="44"/>
      <c r="J10" s="44"/>
    </row>
    <row r="11" spans="1:10" ht="112.5" customHeight="1">
      <c r="A11" s="44"/>
      <c r="B11" s="116" t="str">
        <f t="shared" si="0"/>
        <v xml:space="preserve">Enter values into coloured cells only!
None entry cells are protected. 
</v>
      </c>
      <c r="C11" s="246"/>
      <c r="D11" s="247"/>
      <c r="E11" s="123" t="s">
        <v>473</v>
      </c>
      <c r="F11" s="120" t="s">
        <v>474</v>
      </c>
      <c r="G11" s="120"/>
      <c r="H11" s="120"/>
      <c r="I11" s="44"/>
      <c r="J11" s="44"/>
    </row>
    <row r="12" spans="1:10" ht="14.25" customHeight="1">
      <c r="A12" s="44"/>
      <c r="B12" s="116" t="str">
        <f t="shared" si="0"/>
        <v>Overview of the following sheets</v>
      </c>
      <c r="C12" s="246"/>
      <c r="D12" s="247"/>
      <c r="E12" s="123" t="s">
        <v>246</v>
      </c>
      <c r="F12" s="120" t="s">
        <v>247</v>
      </c>
      <c r="G12" s="120"/>
      <c r="H12" s="120"/>
      <c r="I12" s="44"/>
      <c r="J12" s="44"/>
    </row>
    <row r="13" spans="1:10" ht="14.25" customHeight="1">
      <c r="A13" s="44"/>
      <c r="B13" s="116" t="str">
        <f t="shared" si="0"/>
        <v>1. Geographic Data</v>
      </c>
      <c r="C13" s="246"/>
      <c r="D13" s="247"/>
      <c r="E13" s="123" t="s">
        <v>248</v>
      </c>
      <c r="F13" s="123" t="s">
        <v>248</v>
      </c>
      <c r="G13" s="123" t="s">
        <v>248</v>
      </c>
      <c r="H13" s="123" t="s">
        <v>248</v>
      </c>
      <c r="I13" s="44"/>
      <c r="J13" s="44"/>
    </row>
    <row r="14" spans="1:10" ht="14.25" customHeight="1">
      <c r="A14" s="44"/>
      <c r="B14" s="116" t="str">
        <f t="shared" si="0"/>
        <v>2. Input</v>
      </c>
      <c r="C14" s="246"/>
      <c r="D14" s="247"/>
      <c r="E14" s="119" t="s">
        <v>249</v>
      </c>
      <c r="F14" s="119" t="s">
        <v>249</v>
      </c>
      <c r="G14" s="119" t="s">
        <v>249</v>
      </c>
      <c r="H14" s="119" t="s">
        <v>249</v>
      </c>
      <c r="I14" s="44"/>
      <c r="J14" s="44"/>
    </row>
    <row r="15" spans="1:10" ht="14.25" customHeight="1">
      <c r="A15" s="44"/>
      <c r="B15" s="116" t="str">
        <f t="shared" si="0"/>
        <v>3. Cooling Curve</v>
      </c>
      <c r="C15" s="246"/>
      <c r="D15" s="247"/>
      <c r="E15" s="119" t="s">
        <v>250</v>
      </c>
      <c r="F15" s="119" t="s">
        <v>250</v>
      </c>
      <c r="G15" s="119" t="s">
        <v>250</v>
      </c>
      <c r="H15" s="119" t="s">
        <v>250</v>
      </c>
      <c r="I15" s="44"/>
      <c r="J15" s="44"/>
    </row>
    <row r="16" spans="1:10" ht="14.25" customHeight="1">
      <c r="A16" s="44"/>
      <c r="B16" s="116" t="str">
        <f t="shared" si="0"/>
        <v>4. Output</v>
      </c>
      <c r="C16" s="246"/>
      <c r="D16" s="247"/>
      <c r="E16" s="119" t="s">
        <v>251</v>
      </c>
      <c r="F16" s="119" t="s">
        <v>251</v>
      </c>
      <c r="G16" s="119" t="s">
        <v>251</v>
      </c>
      <c r="H16" s="119" t="s">
        <v>251</v>
      </c>
      <c r="I16" s="44"/>
      <c r="J16" s="44"/>
    </row>
    <row r="17" spans="1:10" ht="14.25" customHeight="1">
      <c r="A17" s="44"/>
      <c r="B17" s="116" t="str">
        <f t="shared" si="0"/>
        <v>5. Weather Data</v>
      </c>
      <c r="C17" s="246"/>
      <c r="D17" s="247"/>
      <c r="E17" s="119" t="s">
        <v>252</v>
      </c>
      <c r="F17" s="119" t="s">
        <v>252</v>
      </c>
      <c r="G17" s="119" t="s">
        <v>252</v>
      </c>
      <c r="H17" s="119" t="s">
        <v>252</v>
      </c>
      <c r="I17" s="44"/>
      <c r="J17" s="44"/>
    </row>
    <row r="18" spans="1:10" ht="14.25" customHeight="1">
      <c r="A18" s="44"/>
      <c r="B18" s="116" t="str">
        <f t="shared" si="0"/>
        <v>Calculation Sheet (Hidden)</v>
      </c>
      <c r="C18" s="246"/>
      <c r="D18" s="247"/>
      <c r="E18" s="119" t="s">
        <v>253</v>
      </c>
      <c r="F18" s="120" t="s">
        <v>254</v>
      </c>
      <c r="G18" s="120"/>
      <c r="H18" s="120"/>
      <c r="I18" s="44"/>
      <c r="J18" s="44"/>
    </row>
    <row r="19" spans="1:10" ht="14.25" customHeight="1">
      <c r="A19" s="44"/>
      <c r="B19" s="116" t="str">
        <f t="shared" si="0"/>
        <v>Translation sheet (Hidden)</v>
      </c>
      <c r="C19" s="246"/>
      <c r="D19" s="247"/>
      <c r="E19" s="119" t="s">
        <v>255</v>
      </c>
      <c r="F19" s="120" t="s">
        <v>256</v>
      </c>
      <c r="G19" s="120"/>
      <c r="H19" s="120"/>
      <c r="I19" s="44"/>
      <c r="J19" s="44"/>
    </row>
    <row r="20" spans="1:10" ht="14.25" customHeight="1">
      <c r="A20" s="44"/>
      <c r="B20" s="116" t="str">
        <f t="shared" si="0"/>
        <v xml:space="preserve">For selecting basic site information: ambient temperatures or solar radiation. </v>
      </c>
      <c r="C20" s="246"/>
      <c r="D20" s="247"/>
      <c r="E20" s="119" t="s">
        <v>257</v>
      </c>
      <c r="F20" s="120" t="s">
        <v>258</v>
      </c>
      <c r="G20" s="120" t="s">
        <v>259</v>
      </c>
      <c r="H20" s="120"/>
      <c r="I20" s="44"/>
      <c r="J20" s="44"/>
    </row>
    <row r="21" spans="1:10" ht="14.25" customHeight="1">
      <c r="A21" s="44"/>
      <c r="B21" s="116" t="str">
        <f t="shared" si="0"/>
        <v>For adding data about the product to be cooled under given conditions</v>
      </c>
      <c r="C21" s="246"/>
      <c r="D21" s="247"/>
      <c r="E21" s="119" t="s">
        <v>260</v>
      </c>
      <c r="F21" s="120" t="s">
        <v>261</v>
      </c>
      <c r="G21" s="120"/>
      <c r="H21" s="120"/>
      <c r="I21" s="44"/>
      <c r="J21" s="44"/>
    </row>
    <row r="22" spans="1:10" ht="14.25" customHeight="1">
      <c r="A22" s="44"/>
      <c r="B22" s="116" t="str">
        <f t="shared" si="0"/>
        <v>Visualization of the Cooling Curve and Cooling Load profile</v>
      </c>
      <c r="C22" s="246"/>
      <c r="D22" s="247"/>
      <c r="E22" s="119" t="s">
        <v>262</v>
      </c>
      <c r="F22" s="120" t="s">
        <v>263</v>
      </c>
      <c r="G22" s="120"/>
      <c r="H22" s="120"/>
      <c r="I22" s="44"/>
      <c r="J22" s="44"/>
    </row>
    <row r="23" spans="1:10" ht="14.25" customHeight="1">
      <c r="A23" s="44"/>
      <c r="B23" s="116" t="str">
        <f t="shared" si="0"/>
        <v>For an overview of the results</v>
      </c>
      <c r="C23" s="246"/>
      <c r="D23" s="247"/>
      <c r="E23" s="119" t="s">
        <v>264</v>
      </c>
      <c r="F23" s="120" t="s">
        <v>265</v>
      </c>
      <c r="G23" s="120"/>
      <c r="H23" s="120"/>
      <c r="I23" s="44"/>
      <c r="J23" s="44"/>
    </row>
    <row r="24" spans="1:10" ht="14.25" customHeight="1">
      <c r="A24" s="44"/>
      <c r="B24" s="116" t="str">
        <f t="shared" si="0"/>
        <v>To add weather data for a specific location</v>
      </c>
      <c r="C24" s="246"/>
      <c r="D24" s="247"/>
      <c r="E24" s="119" t="s">
        <v>266</v>
      </c>
      <c r="F24" s="120" t="s">
        <v>267</v>
      </c>
      <c r="G24" s="120" t="s">
        <v>268</v>
      </c>
      <c r="H24" s="120"/>
      <c r="I24" s="44"/>
      <c r="J24" s="44"/>
    </row>
    <row r="25" spans="1:10" ht="14.25" customHeight="1">
      <c r="A25" s="44"/>
      <c r="B25" s="116" t="str">
        <f t="shared" si="0"/>
        <v>All calculations are done within this sheet</v>
      </c>
      <c r="C25" s="246"/>
      <c r="D25" s="247"/>
      <c r="E25" s="119" t="s">
        <v>269</v>
      </c>
      <c r="F25" s="120" t="s">
        <v>270</v>
      </c>
      <c r="G25" s="120"/>
      <c r="H25" s="120"/>
      <c r="I25" s="44"/>
      <c r="J25" s="44"/>
    </row>
    <row r="26" spans="1:10" ht="14.25" customHeight="1">
      <c r="A26" s="44"/>
      <c r="B26" s="116" t="str">
        <f t="shared" si="0"/>
        <v>Contains the translation into several languages</v>
      </c>
      <c r="C26" s="246"/>
      <c r="D26" s="247"/>
      <c r="E26" s="119" t="s">
        <v>271</v>
      </c>
      <c r="F26" s="120" t="s">
        <v>272</v>
      </c>
      <c r="G26" s="120"/>
      <c r="H26" s="120"/>
      <c r="I26" s="44"/>
      <c r="J26" s="44"/>
    </row>
    <row r="27" spans="1:10" ht="14.25" customHeight="1">
      <c r="A27" s="44"/>
      <c r="B27" s="116" t="str">
        <f t="shared" si="0"/>
        <v>Additional information</v>
      </c>
      <c r="C27" s="246"/>
      <c r="D27" s="247"/>
      <c r="E27" s="119" t="s">
        <v>273</v>
      </c>
      <c r="F27" s="120" t="s">
        <v>274</v>
      </c>
      <c r="G27" s="120"/>
      <c r="H27" s="120"/>
      <c r="I27" s="44"/>
      <c r="J27" s="44"/>
    </row>
    <row r="28" spans="1:10" ht="14.25" customHeight="1">
      <c r="A28" s="44"/>
      <c r="B28" s="116" t="str">
        <f t="shared" si="0"/>
        <v xml:space="preserve">This tool was created by Solar Cooling Engineering </v>
      </c>
      <c r="C28" s="246"/>
      <c r="D28" s="247"/>
      <c r="E28" s="119" t="s">
        <v>475</v>
      </c>
      <c r="F28" s="120" t="s">
        <v>275</v>
      </c>
      <c r="G28" s="120"/>
      <c r="H28" s="120"/>
      <c r="I28" s="44"/>
      <c r="J28" s="44"/>
    </row>
    <row r="29" spans="1:10" ht="14.25" customHeight="1">
      <c r="A29" s="44"/>
      <c r="B29" s="116" t="str">
        <f t="shared" si="0"/>
        <v>In cooperation with</v>
      </c>
      <c r="C29" s="206"/>
      <c r="D29" s="208"/>
      <c r="E29" s="124" t="s">
        <v>276</v>
      </c>
      <c r="F29" s="125" t="s">
        <v>277</v>
      </c>
      <c r="G29" s="125"/>
      <c r="H29" s="125"/>
      <c r="I29" s="44"/>
      <c r="J29" s="44"/>
    </row>
    <row r="30" spans="1:10" ht="15" customHeight="1">
      <c r="A30" s="44"/>
      <c r="B30" s="116" t="str">
        <f t="shared" si="0"/>
        <v>1. Geographic Data</v>
      </c>
      <c r="C30" s="245" t="s">
        <v>278</v>
      </c>
      <c r="D30" s="205"/>
      <c r="E30" s="117" t="s">
        <v>248</v>
      </c>
      <c r="F30" s="120" t="s">
        <v>279</v>
      </c>
      <c r="G30" s="120"/>
      <c r="H30" s="120"/>
      <c r="I30" s="44"/>
      <c r="J30" s="44"/>
    </row>
    <row r="31" spans="1:10" ht="14.25" customHeight="1">
      <c r="A31" s="44"/>
      <c r="B31" s="116" t="str">
        <f t="shared" si="0"/>
        <v>Mean daily temperature [°C]:</v>
      </c>
      <c r="C31" s="246"/>
      <c r="D31" s="247"/>
      <c r="E31" s="119" t="s">
        <v>76</v>
      </c>
      <c r="F31" s="120" t="s">
        <v>280</v>
      </c>
      <c r="G31" s="120"/>
      <c r="H31" s="120"/>
      <c r="I31" s="44"/>
      <c r="J31" s="44"/>
    </row>
    <row r="32" spans="1:10" ht="14.25" customHeight="1">
      <c r="A32" s="44"/>
      <c r="B32" s="116" t="str">
        <f t="shared" si="0"/>
        <v>Solar irradiation [kWh/m² day]:</v>
      </c>
      <c r="C32" s="246"/>
      <c r="D32" s="247"/>
      <c r="E32" s="119" t="s">
        <v>77</v>
      </c>
      <c r="F32" s="120" t="s">
        <v>281</v>
      </c>
      <c r="G32" s="120"/>
      <c r="H32" s="120"/>
      <c r="I32" s="44"/>
      <c r="J32" s="44"/>
    </row>
    <row r="33" spans="1:10" ht="14.25" customHeight="1">
      <c r="A33" s="44"/>
      <c r="B33" s="116" t="str">
        <f t="shared" si="0"/>
        <v>January</v>
      </c>
      <c r="C33" s="246"/>
      <c r="D33" s="247"/>
      <c r="E33" s="119" t="s">
        <v>63</v>
      </c>
      <c r="F33" s="120" t="s">
        <v>282</v>
      </c>
      <c r="G33" s="120"/>
      <c r="H33" s="120"/>
      <c r="I33" s="44"/>
      <c r="J33" s="44"/>
    </row>
    <row r="34" spans="1:10" ht="14.25" customHeight="1">
      <c r="A34" s="44"/>
      <c r="B34" s="116" t="str">
        <f t="shared" si="0"/>
        <v>February</v>
      </c>
      <c r="C34" s="246"/>
      <c r="D34" s="247"/>
      <c r="E34" s="119" t="s">
        <v>64</v>
      </c>
      <c r="F34" s="120" t="s">
        <v>283</v>
      </c>
      <c r="G34" s="120"/>
      <c r="H34" s="120"/>
      <c r="I34" s="44"/>
      <c r="J34" s="44"/>
    </row>
    <row r="35" spans="1:10" ht="14.25" customHeight="1">
      <c r="A35" s="44"/>
      <c r="B35" s="116" t="str">
        <f t="shared" si="0"/>
        <v>March</v>
      </c>
      <c r="C35" s="246"/>
      <c r="D35" s="247"/>
      <c r="E35" s="119" t="s">
        <v>65</v>
      </c>
      <c r="F35" s="120" t="s">
        <v>284</v>
      </c>
      <c r="G35" s="120"/>
      <c r="H35" s="120"/>
      <c r="I35" s="44"/>
      <c r="J35" s="44"/>
    </row>
    <row r="36" spans="1:10" ht="14.25" customHeight="1">
      <c r="A36" s="44"/>
      <c r="B36" s="116" t="str">
        <f t="shared" si="0"/>
        <v>April</v>
      </c>
      <c r="C36" s="246"/>
      <c r="D36" s="247"/>
      <c r="E36" s="119" t="s">
        <v>66</v>
      </c>
      <c r="F36" s="120" t="s">
        <v>285</v>
      </c>
      <c r="G36" s="120"/>
      <c r="H36" s="120"/>
      <c r="I36" s="44"/>
      <c r="J36" s="44"/>
    </row>
    <row r="37" spans="1:10" ht="14.25" customHeight="1">
      <c r="A37" s="44"/>
      <c r="B37" s="116" t="str">
        <f t="shared" si="0"/>
        <v>May</v>
      </c>
      <c r="C37" s="246"/>
      <c r="D37" s="247"/>
      <c r="E37" s="119" t="s">
        <v>67</v>
      </c>
      <c r="F37" s="120" t="s">
        <v>286</v>
      </c>
      <c r="G37" s="120"/>
      <c r="H37" s="120"/>
      <c r="I37" s="44"/>
      <c r="J37" s="44"/>
    </row>
    <row r="38" spans="1:10" ht="14.25" customHeight="1">
      <c r="A38" s="44"/>
      <c r="B38" s="116" t="str">
        <f t="shared" si="0"/>
        <v>June</v>
      </c>
      <c r="C38" s="246"/>
      <c r="D38" s="247"/>
      <c r="E38" s="119" t="s">
        <v>68</v>
      </c>
      <c r="F38" s="120" t="s">
        <v>287</v>
      </c>
      <c r="G38" s="120"/>
      <c r="H38" s="120"/>
      <c r="I38" s="44"/>
      <c r="J38" s="44"/>
    </row>
    <row r="39" spans="1:10" ht="14.25" customHeight="1">
      <c r="A39" s="44"/>
      <c r="B39" s="116" t="str">
        <f t="shared" si="0"/>
        <v>July</v>
      </c>
      <c r="C39" s="246"/>
      <c r="D39" s="247"/>
      <c r="E39" s="119" t="s">
        <v>69</v>
      </c>
      <c r="F39" s="120" t="s">
        <v>288</v>
      </c>
      <c r="G39" s="120"/>
      <c r="H39" s="120"/>
      <c r="I39" s="44"/>
      <c r="J39" s="44"/>
    </row>
    <row r="40" spans="1:10" ht="14.25" customHeight="1">
      <c r="A40" s="44"/>
      <c r="B40" s="116" t="str">
        <f t="shared" si="0"/>
        <v>August</v>
      </c>
      <c r="C40" s="246"/>
      <c r="D40" s="247"/>
      <c r="E40" s="119" t="s">
        <v>70</v>
      </c>
      <c r="F40" s="120" t="s">
        <v>289</v>
      </c>
      <c r="G40" s="120"/>
      <c r="H40" s="120"/>
      <c r="I40" s="44"/>
      <c r="J40" s="44"/>
    </row>
    <row r="41" spans="1:10" ht="14.25" customHeight="1">
      <c r="A41" s="44"/>
      <c r="B41" s="116" t="str">
        <f t="shared" si="0"/>
        <v>September</v>
      </c>
      <c r="C41" s="246"/>
      <c r="D41" s="247"/>
      <c r="E41" s="119" t="s">
        <v>71</v>
      </c>
      <c r="F41" s="120" t="s">
        <v>290</v>
      </c>
      <c r="G41" s="120"/>
      <c r="H41" s="120"/>
      <c r="I41" s="44"/>
      <c r="J41" s="44"/>
    </row>
    <row r="42" spans="1:10" ht="14.25" customHeight="1">
      <c r="A42" s="44"/>
      <c r="B42" s="116" t="str">
        <f t="shared" si="0"/>
        <v>October</v>
      </c>
      <c r="C42" s="246"/>
      <c r="D42" s="247"/>
      <c r="E42" s="119" t="s">
        <v>72</v>
      </c>
      <c r="F42" s="120" t="s">
        <v>291</v>
      </c>
      <c r="G42" s="120"/>
      <c r="H42" s="120"/>
      <c r="I42" s="44"/>
      <c r="J42" s="44"/>
    </row>
    <row r="43" spans="1:10" ht="14.25" customHeight="1">
      <c r="A43" s="44"/>
      <c r="B43" s="116" t="str">
        <f t="shared" si="0"/>
        <v>November</v>
      </c>
      <c r="C43" s="246"/>
      <c r="D43" s="247"/>
      <c r="E43" s="119" t="s">
        <v>73</v>
      </c>
      <c r="F43" s="120" t="s">
        <v>292</v>
      </c>
      <c r="G43" s="120"/>
      <c r="H43" s="120"/>
      <c r="I43" s="44"/>
      <c r="J43" s="44"/>
    </row>
    <row r="44" spans="1:10" ht="14.25" customHeight="1">
      <c r="A44" s="44"/>
      <c r="B44" s="116" t="str">
        <f t="shared" si="0"/>
        <v>December</v>
      </c>
      <c r="C44" s="246"/>
      <c r="D44" s="247"/>
      <c r="E44" s="119" t="s">
        <v>74</v>
      </c>
      <c r="F44" s="120" t="s">
        <v>293</v>
      </c>
      <c r="G44" s="120"/>
      <c r="H44" s="120"/>
      <c r="I44" s="44"/>
      <c r="J44" s="44"/>
    </row>
    <row r="45" spans="1:10" ht="14.25" customHeight="1">
      <c r="A45" s="44"/>
      <c r="B45" s="116" t="str">
        <f t="shared" si="0"/>
        <v>Locations can be added on the sheet "Weather Data"</v>
      </c>
      <c r="C45" s="246"/>
      <c r="D45" s="247"/>
      <c r="E45" s="119" t="s">
        <v>294</v>
      </c>
      <c r="F45" s="120" t="s">
        <v>295</v>
      </c>
      <c r="G45" s="120" t="s">
        <v>296</v>
      </c>
      <c r="H45" s="120"/>
      <c r="I45" s="44"/>
      <c r="J45" s="44"/>
    </row>
    <row r="46" spans="1:10" ht="14.25" customHeight="1">
      <c r="A46" s="44"/>
      <c r="B46" s="116" t="str">
        <f t="shared" si="0"/>
        <v>Choose location:</v>
      </c>
      <c r="C46" s="246"/>
      <c r="D46" s="247"/>
      <c r="E46" s="119" t="s">
        <v>297</v>
      </c>
      <c r="F46" s="120" t="s">
        <v>298</v>
      </c>
      <c r="G46" s="120" t="s">
        <v>299</v>
      </c>
      <c r="H46" s="120"/>
      <c r="I46" s="44"/>
      <c r="J46" s="44"/>
    </row>
    <row r="47" spans="1:10" ht="14.25" customHeight="1">
      <c r="A47" s="44"/>
      <c r="B47" s="116" t="str">
        <f t="shared" si="0"/>
        <v>Use to obtain indicative monthly irradiation and temperature data for the site:</v>
      </c>
      <c r="C47" s="206"/>
      <c r="D47" s="208"/>
      <c r="E47" s="124" t="s">
        <v>300</v>
      </c>
      <c r="F47" s="125" t="s">
        <v>301</v>
      </c>
      <c r="G47" s="125"/>
      <c r="H47" s="125"/>
      <c r="I47" s="44"/>
      <c r="J47" s="44"/>
    </row>
    <row r="48" spans="1:10" ht="15" customHeight="1">
      <c r="A48" s="44"/>
      <c r="B48" s="116" t="str">
        <f t="shared" si="0"/>
        <v>Input of parameters</v>
      </c>
      <c r="C48" s="245" t="s">
        <v>302</v>
      </c>
      <c r="D48" s="205"/>
      <c r="E48" s="117" t="s">
        <v>303</v>
      </c>
      <c r="F48" s="118" t="s">
        <v>304</v>
      </c>
      <c r="G48" s="118"/>
      <c r="H48" s="118"/>
      <c r="I48" s="44"/>
      <c r="J48" s="44"/>
    </row>
    <row r="49" spans="1:10" ht="14.25" customHeight="1">
      <c r="A49" s="44"/>
      <c r="B49" s="116" t="str">
        <f t="shared" si="0"/>
        <v>Product information</v>
      </c>
      <c r="C49" s="246"/>
      <c r="D49" s="247"/>
      <c r="E49" s="119" t="s">
        <v>104</v>
      </c>
      <c r="F49" s="120" t="s">
        <v>305</v>
      </c>
      <c r="G49" s="120"/>
      <c r="H49" s="120"/>
      <c r="I49" s="44"/>
      <c r="J49" s="44"/>
    </row>
    <row r="50" spans="1:10" ht="14.25" customHeight="1">
      <c r="A50" s="44"/>
      <c r="B50" s="116" t="str">
        <f t="shared" si="0"/>
        <v>Data</v>
      </c>
      <c r="C50" s="246"/>
      <c r="D50" s="247"/>
      <c r="E50" s="119" t="s">
        <v>306</v>
      </c>
      <c r="F50" s="120" t="s">
        <v>307</v>
      </c>
      <c r="G50" s="120"/>
      <c r="H50" s="120"/>
      <c r="I50" s="44"/>
      <c r="J50" s="44"/>
    </row>
    <row r="51" spans="1:10" ht="14.25" customHeight="1">
      <c r="A51" s="44"/>
      <c r="B51" s="116" t="str">
        <f t="shared" si="0"/>
        <v>Total mass to be cooled</v>
      </c>
      <c r="C51" s="246"/>
      <c r="D51" s="247"/>
      <c r="E51" s="119" t="s">
        <v>184</v>
      </c>
      <c r="F51" s="120" t="s">
        <v>308</v>
      </c>
      <c r="G51" s="120"/>
      <c r="H51" s="120"/>
      <c r="I51" s="44"/>
      <c r="J51" s="44"/>
    </row>
    <row r="52" spans="1:10" ht="14.25" customHeight="1">
      <c r="A52" s="44"/>
      <c r="B52" s="116" t="str">
        <f t="shared" si="0"/>
        <v>Moisture content of the product</v>
      </c>
      <c r="C52" s="246"/>
      <c r="D52" s="247"/>
      <c r="E52" s="119" t="s">
        <v>309</v>
      </c>
      <c r="F52" s="120" t="s">
        <v>310</v>
      </c>
      <c r="G52" s="120"/>
      <c r="H52" s="120"/>
      <c r="I52" s="44"/>
      <c r="J52" s="44"/>
    </row>
    <row r="53" spans="1:10" ht="14.25" customHeight="1">
      <c r="A53" s="44"/>
      <c r="B53" s="116" t="str">
        <f t="shared" si="0"/>
        <v xml:space="preserve"> or Heat capacity of the product</v>
      </c>
      <c r="C53" s="246"/>
      <c r="D53" s="247"/>
      <c r="E53" s="119" t="s">
        <v>187</v>
      </c>
      <c r="F53" s="120" t="s">
        <v>311</v>
      </c>
      <c r="G53" s="120"/>
      <c r="H53" s="120"/>
      <c r="I53" s="44"/>
      <c r="J53" s="44"/>
    </row>
    <row r="54" spans="1:10" ht="14.25" customHeight="1">
      <c r="A54" s="44"/>
      <c r="B54" s="116" t="str">
        <f t="shared" si="0"/>
        <v>Mass =</v>
      </c>
      <c r="C54" s="246"/>
      <c r="D54" s="247"/>
      <c r="E54" s="119" t="s">
        <v>105</v>
      </c>
      <c r="F54" s="120" t="s">
        <v>312</v>
      </c>
      <c r="G54" s="120"/>
      <c r="H54" s="120"/>
      <c r="I54" s="44"/>
      <c r="J54" s="44"/>
    </row>
    <row r="55" spans="1:10" ht="14.25" customHeight="1">
      <c r="A55" s="44"/>
      <c r="B55" s="116" t="str">
        <f t="shared" si="0"/>
        <v>MC =</v>
      </c>
      <c r="C55" s="246"/>
      <c r="D55" s="247"/>
      <c r="E55" s="119" t="s">
        <v>107</v>
      </c>
      <c r="F55" s="120" t="s">
        <v>107</v>
      </c>
      <c r="G55" s="120"/>
      <c r="H55" s="120"/>
      <c r="I55" s="44"/>
      <c r="J55" s="44"/>
    </row>
    <row r="56" spans="1:10" ht="14.25" customHeight="1">
      <c r="A56" s="44"/>
      <c r="B56" s="116" t="str">
        <f t="shared" si="0"/>
        <v>cp =</v>
      </c>
      <c r="C56" s="246"/>
      <c r="D56" s="247"/>
      <c r="E56" s="119" t="s">
        <v>108</v>
      </c>
      <c r="F56" s="120" t="s">
        <v>108</v>
      </c>
      <c r="G56" s="120"/>
      <c r="H56" s="120"/>
      <c r="I56" s="44"/>
      <c r="J56" s="44"/>
    </row>
    <row r="57" spans="1:10" ht="14.25" customHeight="1">
      <c r="A57" s="44"/>
      <c r="B57" s="116" t="str">
        <f t="shared" si="0"/>
        <v>kg or l</v>
      </c>
      <c r="C57" s="246"/>
      <c r="D57" s="247"/>
      <c r="E57" s="119" t="s">
        <v>106</v>
      </c>
      <c r="F57" s="120" t="s">
        <v>313</v>
      </c>
      <c r="G57" s="120"/>
      <c r="H57" s="120"/>
      <c r="I57" s="44"/>
      <c r="J57" s="44"/>
    </row>
    <row r="58" spans="1:10" ht="14.25" customHeight="1">
      <c r="A58" s="44"/>
      <c r="B58" s="116" t="str">
        <f t="shared" si="0"/>
        <v>% wet based</v>
      </c>
      <c r="C58" s="246"/>
      <c r="D58" s="247"/>
      <c r="E58" s="119" t="s">
        <v>186</v>
      </c>
      <c r="F58" s="120" t="s">
        <v>314</v>
      </c>
      <c r="G58" s="120"/>
      <c r="H58" s="120"/>
      <c r="I58" s="44"/>
      <c r="J58" s="44"/>
    </row>
    <row r="59" spans="1:10" ht="14.25" customHeight="1">
      <c r="A59" s="44"/>
      <c r="B59" s="116" t="str">
        <f t="shared" si="0"/>
        <v>kJ/kg K</v>
      </c>
      <c r="C59" s="246"/>
      <c r="D59" s="247"/>
      <c r="E59" s="119" t="s">
        <v>109</v>
      </c>
      <c r="F59" s="120" t="s">
        <v>109</v>
      </c>
      <c r="G59" s="120"/>
      <c r="H59" s="120"/>
      <c r="I59" s="44"/>
      <c r="J59" s="44"/>
    </row>
    <row r="60" spans="1:10" ht="14.25" customHeight="1">
      <c r="A60" s="44"/>
      <c r="B60" s="116" t="str">
        <f t="shared" si="0"/>
        <v>Radius</v>
      </c>
      <c r="C60" s="246"/>
      <c r="D60" s="247"/>
      <c r="E60" s="119" t="s">
        <v>189</v>
      </c>
      <c r="F60" s="120" t="s">
        <v>315</v>
      </c>
      <c r="G60" s="120"/>
      <c r="H60" s="120"/>
      <c r="I60" s="44"/>
      <c r="J60" s="44"/>
    </row>
    <row r="61" spans="1:10" ht="14.25" customHeight="1">
      <c r="A61" s="44"/>
      <c r="B61" s="116" t="str">
        <f t="shared" si="0"/>
        <v>Density</v>
      </c>
      <c r="C61" s="246"/>
      <c r="D61" s="247"/>
      <c r="E61" s="119" t="s">
        <v>191</v>
      </c>
      <c r="F61" s="120" t="s">
        <v>316</v>
      </c>
      <c r="G61" s="120"/>
      <c r="H61" s="120"/>
      <c r="I61" s="44"/>
      <c r="J61" s="44"/>
    </row>
    <row r="62" spans="1:10" ht="14.25" customHeight="1">
      <c r="A62" s="44"/>
      <c r="B62" s="116" t="str">
        <f t="shared" si="0"/>
        <v>Convection air - product</v>
      </c>
      <c r="C62" s="246"/>
      <c r="D62" s="247"/>
      <c r="E62" s="119" t="s">
        <v>192</v>
      </c>
      <c r="F62" s="120" t="s">
        <v>317</v>
      </c>
      <c r="G62" s="120"/>
      <c r="H62" s="120"/>
      <c r="I62" s="44"/>
      <c r="J62" s="44"/>
    </row>
    <row r="63" spans="1:10" ht="14.25" customHeight="1">
      <c r="A63" s="44"/>
      <c r="B63" s="116" t="str">
        <f t="shared" si="0"/>
        <v>Conduction coefficient of the product</v>
      </c>
      <c r="C63" s="246"/>
      <c r="D63" s="247"/>
      <c r="E63" s="119" t="s">
        <v>318</v>
      </c>
      <c r="F63" s="120" t="s">
        <v>319</v>
      </c>
      <c r="G63" s="120"/>
      <c r="H63" s="120"/>
      <c r="I63" s="44"/>
      <c r="J63" s="44"/>
    </row>
    <row r="64" spans="1:10" ht="14.25" customHeight="1">
      <c r="A64" s="44"/>
      <c r="B64" s="116" t="str">
        <f t="shared" si="0"/>
        <v>Temperature information</v>
      </c>
      <c r="C64" s="246"/>
      <c r="D64" s="247"/>
      <c r="E64" s="119" t="s">
        <v>19</v>
      </c>
      <c r="F64" s="120" t="s">
        <v>320</v>
      </c>
      <c r="G64" s="120"/>
      <c r="H64" s="120"/>
      <c r="I64" s="44"/>
      <c r="J64" s="44"/>
    </row>
    <row r="65" spans="1:10" ht="14.25" customHeight="1">
      <c r="A65" s="44"/>
      <c r="B65" s="116" t="str">
        <f t="shared" si="0"/>
        <v>Initial temperature of the product</v>
      </c>
      <c r="C65" s="246"/>
      <c r="D65" s="247"/>
      <c r="E65" s="119" t="s">
        <v>179</v>
      </c>
      <c r="F65" s="120" t="s">
        <v>321</v>
      </c>
      <c r="G65" s="120"/>
      <c r="H65" s="120"/>
      <c r="I65" s="44"/>
      <c r="J65" s="44"/>
    </row>
    <row r="66" spans="1:10" ht="14.25" customHeight="1">
      <c r="A66" s="44"/>
      <c r="B66" s="116" t="str">
        <f t="shared" si="0"/>
        <v>Freezing Room Temperature Set-Point</v>
      </c>
      <c r="C66" s="246"/>
      <c r="D66" s="247"/>
      <c r="E66" s="119" t="s">
        <v>322</v>
      </c>
      <c r="F66" s="120" t="s">
        <v>323</v>
      </c>
      <c r="G66" s="120"/>
      <c r="H66" s="120"/>
      <c r="I66" s="44"/>
      <c r="J66" s="44"/>
    </row>
    <row r="67" spans="1:10" ht="14.25" customHeight="1">
      <c r="A67" s="44"/>
      <c r="B67" s="116" t="str">
        <f t="shared" si="0"/>
        <v>Time to cool down the product</v>
      </c>
      <c r="C67" s="246"/>
      <c r="D67" s="247"/>
      <c r="E67" s="119" t="s">
        <v>324</v>
      </c>
      <c r="F67" s="120" t="s">
        <v>325</v>
      </c>
      <c r="G67" s="120"/>
      <c r="H67" s="120"/>
      <c r="I67" s="44"/>
      <c r="J67" s="44"/>
    </row>
    <row r="68" spans="1:10" ht="14.25" customHeight="1">
      <c r="A68" s="44"/>
      <c r="B68" s="116" t="str">
        <f t="shared" si="0"/>
        <v>How often do you cool down the product</v>
      </c>
      <c r="C68" s="246"/>
      <c r="D68" s="247"/>
      <c r="E68" s="119" t="s">
        <v>326</v>
      </c>
      <c r="F68" s="120" t="s">
        <v>327</v>
      </c>
      <c r="G68" s="120"/>
      <c r="H68" s="120"/>
      <c r="I68" s="44"/>
      <c r="J68" s="44"/>
    </row>
    <row r="69" spans="1:10" ht="14.25" customHeight="1">
      <c r="A69" s="44"/>
      <c r="B69" s="116" t="str">
        <f t="shared" si="0"/>
        <v>per month</v>
      </c>
      <c r="C69" s="246"/>
      <c r="D69" s="247"/>
      <c r="E69" s="119" t="s">
        <v>328</v>
      </c>
      <c r="F69" s="120" t="s">
        <v>329</v>
      </c>
      <c r="G69" s="120"/>
      <c r="H69" s="120"/>
      <c r="I69" s="44"/>
      <c r="J69" s="44"/>
    </row>
    <row r="70" spans="1:10" ht="14.25" customHeight="1">
      <c r="A70" s="44"/>
      <c r="B70" s="126" t="str">
        <f t="shared" si="0"/>
        <v>System information</v>
      </c>
      <c r="C70" s="246"/>
      <c r="D70" s="247"/>
      <c r="E70" s="93" t="s">
        <v>138</v>
      </c>
      <c r="F70" s="120" t="s">
        <v>330</v>
      </c>
      <c r="G70" s="127"/>
      <c r="H70" s="127"/>
      <c r="I70" s="44"/>
      <c r="J70" s="44"/>
    </row>
    <row r="71" spans="1:10" ht="14.25" customHeight="1">
      <c r="A71" s="44"/>
      <c r="B71" s="126" t="str">
        <f t="shared" si="0"/>
        <v>Batteries</v>
      </c>
      <c r="C71" s="246"/>
      <c r="D71" s="247"/>
      <c r="E71" s="93" t="s">
        <v>331</v>
      </c>
      <c r="F71" s="120" t="s">
        <v>331</v>
      </c>
      <c r="G71" s="127"/>
      <c r="H71" s="127"/>
      <c r="I71" s="44"/>
      <c r="J71" s="44"/>
    </row>
    <row r="72" spans="1:10" ht="14.25" customHeight="1">
      <c r="A72" s="44"/>
      <c r="B72" s="126" t="str">
        <f t="shared" si="0"/>
        <v>Autonomy of the system</v>
      </c>
      <c r="C72" s="246"/>
      <c r="D72" s="247"/>
      <c r="E72" s="93" t="s">
        <v>332</v>
      </c>
      <c r="F72" s="120" t="s">
        <v>333</v>
      </c>
      <c r="G72" s="127"/>
      <c r="H72" s="127"/>
      <c r="I72" s="44"/>
      <c r="J72" s="44"/>
    </row>
    <row r="73" spans="1:10" ht="14.25" customHeight="1">
      <c r="A73" s="44"/>
      <c r="B73" s="126" t="str">
        <f t="shared" si="0"/>
        <v>PV System losses (e.g. 25%)</v>
      </c>
      <c r="C73" s="246"/>
      <c r="D73" s="247"/>
      <c r="E73" s="93" t="s">
        <v>334</v>
      </c>
      <c r="F73" s="120" t="s">
        <v>335</v>
      </c>
      <c r="G73" s="127"/>
      <c r="H73" s="127"/>
      <c r="I73" s="44"/>
      <c r="J73" s="44"/>
    </row>
    <row r="74" spans="1:10" ht="14.25" customHeight="1">
      <c r="A74" s="44"/>
      <c r="B74" s="126" t="str">
        <f t="shared" si="0"/>
        <v>PV Panels</v>
      </c>
      <c r="C74" s="246"/>
      <c r="D74" s="247"/>
      <c r="E74" s="93" t="s">
        <v>336</v>
      </c>
      <c r="F74" s="120" t="s">
        <v>337</v>
      </c>
      <c r="G74" s="127"/>
      <c r="H74" s="127"/>
      <c r="I74" s="44"/>
      <c r="J74" s="44"/>
    </row>
    <row r="75" spans="1:10" ht="14.25" customHeight="1">
      <c r="A75" s="44"/>
      <c r="B75" s="126" t="str">
        <f t="shared" si="0"/>
        <v>Charge Controller</v>
      </c>
      <c r="C75" s="246"/>
      <c r="D75" s="247"/>
      <c r="E75" s="93" t="s">
        <v>338</v>
      </c>
      <c r="F75" s="120" t="s">
        <v>339</v>
      </c>
      <c r="G75" s="127"/>
      <c r="H75" s="127"/>
      <c r="I75" s="44"/>
      <c r="J75" s="44"/>
    </row>
    <row r="76" spans="1:10" ht="14.25" customHeight="1">
      <c r="A76" s="44"/>
      <c r="B76" s="126" t="str">
        <f t="shared" si="0"/>
        <v>Batteries</v>
      </c>
      <c r="C76" s="246"/>
      <c r="D76" s="247"/>
      <c r="E76" s="93" t="s">
        <v>331</v>
      </c>
      <c r="F76" s="120" t="s">
        <v>331</v>
      </c>
      <c r="G76" s="127"/>
      <c r="H76" s="127"/>
      <c r="I76" s="44"/>
      <c r="J76" s="44"/>
    </row>
    <row r="77" spans="1:10" ht="14.25" customHeight="1">
      <c r="A77" s="44"/>
      <c r="B77" s="126" t="str">
        <f t="shared" si="0"/>
        <v>Control Unit</v>
      </c>
      <c r="C77" s="246"/>
      <c r="D77" s="247"/>
      <c r="E77" s="93" t="s">
        <v>340</v>
      </c>
      <c r="F77" s="120" t="s">
        <v>341</v>
      </c>
      <c r="G77" s="127"/>
      <c r="H77" s="127"/>
      <c r="I77" s="44"/>
      <c r="J77" s="44"/>
    </row>
    <row r="78" spans="1:10" ht="14.25" customHeight="1">
      <c r="A78" s="44"/>
      <c r="B78" s="126" t="str">
        <f t="shared" si="0"/>
        <v>Compressor</v>
      </c>
      <c r="C78" s="246"/>
      <c r="D78" s="247"/>
      <c r="E78" s="93" t="s">
        <v>342</v>
      </c>
      <c r="F78" s="120" t="s">
        <v>343</v>
      </c>
      <c r="G78" s="127"/>
      <c r="H78" s="127"/>
      <c r="I78" s="44"/>
      <c r="J78" s="44"/>
    </row>
    <row r="79" spans="1:10" ht="14.25" customHeight="1">
      <c r="A79" s="44"/>
      <c r="B79" s="126" t="str">
        <f t="shared" si="0"/>
        <v>Ice storage</v>
      </c>
      <c r="C79" s="246"/>
      <c r="D79" s="247"/>
      <c r="E79" s="93" t="s">
        <v>344</v>
      </c>
      <c r="F79" s="120" t="s">
        <v>345</v>
      </c>
      <c r="G79" s="127"/>
      <c r="H79" s="127"/>
      <c r="I79" s="44"/>
      <c r="J79" s="44"/>
    </row>
    <row r="80" spans="1:10" ht="14.25" customHeight="1">
      <c r="A80" s="44"/>
      <c r="B80" s="126" t="str">
        <f t="shared" si="0"/>
        <v>Water bath</v>
      </c>
      <c r="C80" s="246"/>
      <c r="D80" s="247"/>
      <c r="E80" s="93" t="s">
        <v>346</v>
      </c>
      <c r="F80" s="120" t="s">
        <v>347</v>
      </c>
      <c r="G80" s="127"/>
      <c r="H80" s="127"/>
      <c r="I80" s="44"/>
      <c r="J80" s="44"/>
    </row>
    <row r="81" spans="1:10" ht="14.25" customHeight="1">
      <c r="A81" s="44"/>
      <c r="B81" s="126" t="str">
        <f t="shared" si="0"/>
        <v>Ice on evaporator surface</v>
      </c>
      <c r="C81" s="246"/>
      <c r="D81" s="247"/>
      <c r="E81" s="93" t="s">
        <v>348</v>
      </c>
      <c r="F81" s="120" t="s">
        <v>349</v>
      </c>
      <c r="G81" s="127"/>
      <c r="H81" s="127"/>
      <c r="I81" s="44"/>
      <c r="J81" s="44"/>
    </row>
    <row r="82" spans="1:10" ht="14.25" customHeight="1">
      <c r="A82" s="44"/>
      <c r="B82" s="126" t="str">
        <f t="shared" si="0"/>
        <v>DC pump</v>
      </c>
      <c r="C82" s="246"/>
      <c r="D82" s="247"/>
      <c r="E82" s="93" t="s">
        <v>350</v>
      </c>
      <c r="F82" s="120" t="s">
        <v>351</v>
      </c>
      <c r="G82" s="127"/>
      <c r="H82" s="127"/>
      <c r="I82" s="44"/>
      <c r="J82" s="44"/>
    </row>
    <row r="83" spans="1:10" ht="14.25" customHeight="1">
      <c r="A83" s="44"/>
      <c r="B83" s="126" t="str">
        <f t="shared" si="0"/>
        <v>Fan coil unit</v>
      </c>
      <c r="C83" s="246"/>
      <c r="D83" s="247"/>
      <c r="E83" s="93" t="s">
        <v>352</v>
      </c>
      <c r="F83" s="120" t="s">
        <v>353</v>
      </c>
      <c r="G83" s="127"/>
      <c r="H83" s="127"/>
      <c r="I83" s="44"/>
      <c r="J83" s="44"/>
    </row>
    <row r="84" spans="1:10" ht="14.25" customHeight="1">
      <c r="A84" s="44"/>
      <c r="B84" s="126" t="str">
        <f t="shared" si="0"/>
        <v>Cold room</v>
      </c>
      <c r="C84" s="246"/>
      <c r="D84" s="247"/>
      <c r="E84" s="93" t="s">
        <v>354</v>
      </c>
      <c r="F84" s="120" t="s">
        <v>355</v>
      </c>
      <c r="G84" s="127"/>
      <c r="H84" s="127"/>
      <c r="I84" s="44"/>
      <c r="J84" s="44"/>
    </row>
    <row r="85" spans="1:10" ht="14.25" customHeight="1">
      <c r="A85" s="44"/>
      <c r="B85" s="126" t="str">
        <f t="shared" si="0"/>
        <v>Cooled product</v>
      </c>
      <c r="C85" s="246"/>
      <c r="D85" s="247"/>
      <c r="E85" s="93" t="s">
        <v>356</v>
      </c>
      <c r="F85" s="120" t="s">
        <v>357</v>
      </c>
      <c r="G85" s="127"/>
      <c r="H85" s="127"/>
      <c r="I85" s="44"/>
      <c r="J85" s="44"/>
    </row>
    <row r="86" spans="1:10" ht="14.25" customHeight="1">
      <c r="A86" s="44"/>
      <c r="B86" s="126" t="str">
        <f t="shared" si="0"/>
        <v>Yes</v>
      </c>
      <c r="C86" s="246"/>
      <c r="D86" s="247"/>
      <c r="E86" s="93" t="s">
        <v>42</v>
      </c>
      <c r="F86" s="120" t="s">
        <v>358</v>
      </c>
      <c r="G86" s="127"/>
      <c r="H86" s="127"/>
      <c r="I86" s="44"/>
      <c r="J86" s="44"/>
    </row>
    <row r="87" spans="1:10" ht="14.25" customHeight="1">
      <c r="A87" s="44"/>
      <c r="B87" s="126" t="str">
        <f t="shared" si="0"/>
        <v>No</v>
      </c>
      <c r="C87" s="246"/>
      <c r="D87" s="247"/>
      <c r="E87" s="93" t="s">
        <v>40</v>
      </c>
      <c r="F87" s="120" t="s">
        <v>359</v>
      </c>
      <c r="G87" s="127"/>
      <c r="H87" s="127"/>
      <c r="I87" s="44"/>
      <c r="J87" s="44"/>
    </row>
    <row r="88" spans="1:10" ht="14.25" customHeight="1">
      <c r="A88" s="44"/>
      <c r="B88" s="126" t="str">
        <f t="shared" si="0"/>
        <v>Cold Room</v>
      </c>
      <c r="C88" s="246"/>
      <c r="D88" s="247"/>
      <c r="E88" s="93" t="s">
        <v>360</v>
      </c>
      <c r="F88" s="127" t="s">
        <v>355</v>
      </c>
      <c r="G88" s="127"/>
      <c r="H88" s="127"/>
      <c r="I88" s="44"/>
      <c r="J88" s="44"/>
    </row>
    <row r="89" spans="1:10" ht="14.25" customHeight="1">
      <c r="A89" s="44"/>
      <c r="B89" s="126" t="str">
        <f t="shared" si="0"/>
        <v>Inner length of the cold room</v>
      </c>
      <c r="C89" s="246"/>
      <c r="D89" s="247"/>
      <c r="E89" s="93" t="s">
        <v>126</v>
      </c>
      <c r="F89" s="120" t="s">
        <v>361</v>
      </c>
      <c r="G89" s="127"/>
      <c r="H89" s="127"/>
      <c r="I89" s="44"/>
      <c r="J89" s="44"/>
    </row>
    <row r="90" spans="1:10" ht="14.25" customHeight="1">
      <c r="A90" s="44"/>
      <c r="B90" s="126" t="str">
        <f t="shared" si="0"/>
        <v>Inner width of the cold room</v>
      </c>
      <c r="C90" s="246"/>
      <c r="D90" s="247"/>
      <c r="E90" s="93" t="s">
        <v>127</v>
      </c>
      <c r="F90" s="120" t="s">
        <v>362</v>
      </c>
      <c r="G90" s="127"/>
      <c r="H90" s="127"/>
      <c r="I90" s="44"/>
      <c r="J90" s="44"/>
    </row>
    <row r="91" spans="1:10" ht="14.25" customHeight="1">
      <c r="A91" s="44"/>
      <c r="B91" s="126" t="str">
        <f t="shared" si="0"/>
        <v>Inner height of the cold room</v>
      </c>
      <c r="C91" s="246"/>
      <c r="D91" s="247"/>
      <c r="E91" s="93" t="s">
        <v>128</v>
      </c>
      <c r="F91" s="120" t="s">
        <v>363</v>
      </c>
      <c r="G91" s="127"/>
      <c r="H91" s="127"/>
      <c r="I91" s="44"/>
      <c r="J91" s="44"/>
    </row>
    <row r="92" spans="1:10" ht="14.25" customHeight="1">
      <c r="A92" s="44"/>
      <c r="B92" s="126" t="str">
        <f t="shared" si="0"/>
        <v>Area of the cold room</v>
      </c>
      <c r="C92" s="246"/>
      <c r="D92" s="247"/>
      <c r="E92" s="93" t="s">
        <v>364</v>
      </c>
      <c r="F92" s="120" t="s">
        <v>365</v>
      </c>
      <c r="G92" s="127"/>
      <c r="H92" s="127"/>
      <c r="I92" s="44"/>
      <c r="J92" s="44"/>
    </row>
    <row r="93" spans="1:10" ht="14.25" customHeight="1">
      <c r="A93" s="44"/>
      <c r="B93" s="126" t="str">
        <f t="shared" si="0"/>
        <v>Thermal conductivity of insulation</v>
      </c>
      <c r="C93" s="246"/>
      <c r="D93" s="247"/>
      <c r="E93" s="93" t="s">
        <v>207</v>
      </c>
      <c r="F93" s="120" t="s">
        <v>366</v>
      </c>
      <c r="G93" s="127"/>
      <c r="H93" s="127"/>
      <c r="I93" s="44"/>
      <c r="J93" s="44"/>
    </row>
    <row r="94" spans="1:10" ht="14.25" customHeight="1">
      <c r="A94" s="44"/>
      <c r="B94" s="126" t="str">
        <f t="shared" si="0"/>
        <v>Thickness of insulation</v>
      </c>
      <c r="C94" s="246"/>
      <c r="D94" s="247"/>
      <c r="E94" s="93" t="s">
        <v>209</v>
      </c>
      <c r="F94" s="120" t="s">
        <v>367</v>
      </c>
      <c r="G94" s="127"/>
      <c r="H94" s="127"/>
      <c r="I94" s="44"/>
      <c r="J94" s="44"/>
    </row>
    <row r="95" spans="1:10" ht="14.25" customHeight="1">
      <c r="A95" s="44"/>
      <c r="B95" s="126" t="str">
        <f t="shared" si="0"/>
        <v>Ice storage inside the cold room?</v>
      </c>
      <c r="C95" s="246"/>
      <c r="D95" s="247"/>
      <c r="E95" s="93" t="s">
        <v>210</v>
      </c>
      <c r="F95" s="120" t="s">
        <v>368</v>
      </c>
      <c r="G95" s="127"/>
      <c r="H95" s="127"/>
      <c r="I95" s="44"/>
      <c r="J95" s="44"/>
    </row>
    <row r="96" spans="1:10" ht="14.25" customHeight="1">
      <c r="A96" s="44"/>
      <c r="B96" s="126" t="str">
        <f t="shared" si="0"/>
        <v>Economic information</v>
      </c>
      <c r="C96" s="246"/>
      <c r="D96" s="247"/>
      <c r="E96" s="93" t="s">
        <v>140</v>
      </c>
      <c r="F96" s="120" t="s">
        <v>369</v>
      </c>
      <c r="G96" s="127"/>
      <c r="H96" s="127"/>
      <c r="I96" s="44"/>
      <c r="J96" s="44"/>
    </row>
    <row r="97" spans="1:10" ht="14.25" customHeight="1">
      <c r="A97" s="44"/>
      <c r="B97" s="126" t="str">
        <f t="shared" si="0"/>
        <v>Currency used for calculation</v>
      </c>
      <c r="C97" s="246"/>
      <c r="D97" s="247"/>
      <c r="E97" s="93" t="s">
        <v>370</v>
      </c>
      <c r="F97" s="120" t="s">
        <v>371</v>
      </c>
      <c r="G97" s="127"/>
      <c r="H97" s="127"/>
      <c r="I97" s="44"/>
      <c r="J97" s="44"/>
    </row>
    <row r="98" spans="1:10" ht="14.25" customHeight="1">
      <c r="A98" s="44"/>
      <c r="B98" s="126" t="str">
        <f t="shared" si="0"/>
        <v>Specific cost of PV</v>
      </c>
      <c r="C98" s="246"/>
      <c r="D98" s="247"/>
      <c r="E98" s="93" t="s">
        <v>372</v>
      </c>
      <c r="F98" s="120" t="s">
        <v>373</v>
      </c>
      <c r="G98" s="127"/>
      <c r="H98" s="127"/>
      <c r="I98" s="44"/>
      <c r="J98" s="44"/>
    </row>
    <row r="99" spans="1:10" ht="14.25" customHeight="1">
      <c r="A99" s="44"/>
      <c r="B99" s="126" t="str">
        <f t="shared" si="0"/>
        <v>PV lifetime</v>
      </c>
      <c r="C99" s="246"/>
      <c r="D99" s="247"/>
      <c r="E99" s="93" t="s">
        <v>374</v>
      </c>
      <c r="F99" s="120" t="s">
        <v>375</v>
      </c>
      <c r="G99" s="127"/>
      <c r="H99" s="127"/>
      <c r="I99" s="44"/>
      <c r="J99" s="44"/>
    </row>
    <row r="100" spans="1:10" ht="14.25" customHeight="1">
      <c r="A100" s="44"/>
      <c r="B100" s="126" t="str">
        <f t="shared" si="0"/>
        <v xml:space="preserve">Specif cost of battery  </v>
      </c>
      <c r="C100" s="246"/>
      <c r="D100" s="247"/>
      <c r="E100" s="93" t="s">
        <v>376</v>
      </c>
      <c r="F100" s="120" t="s">
        <v>377</v>
      </c>
      <c r="G100" s="127"/>
      <c r="H100" s="127"/>
      <c r="I100" s="44"/>
      <c r="J100" s="44"/>
    </row>
    <row r="101" spans="1:10" ht="14.25" customHeight="1">
      <c r="A101" s="44"/>
      <c r="B101" s="126" t="str">
        <f t="shared" si="0"/>
        <v>Battery lifetime</v>
      </c>
      <c r="C101" s="246"/>
      <c r="D101" s="247"/>
      <c r="E101" s="93" t="s">
        <v>378</v>
      </c>
      <c r="F101" s="120" t="s">
        <v>379</v>
      </c>
      <c r="G101" s="127"/>
      <c r="H101" s="127"/>
      <c r="I101" s="44"/>
      <c r="J101" s="44"/>
    </row>
    <row r="102" spans="1:10" ht="14.25" customHeight="1">
      <c r="A102" s="44"/>
      <c r="B102" s="126" t="str">
        <f t="shared" si="0"/>
        <v>Cost of a Monoblock cooling unit</v>
      </c>
      <c r="C102" s="246"/>
      <c r="D102" s="247"/>
      <c r="E102" s="93" t="s">
        <v>380</v>
      </c>
      <c r="F102" s="120" t="s">
        <v>381</v>
      </c>
      <c r="G102" s="127"/>
      <c r="H102" s="127"/>
      <c r="I102" s="44"/>
      <c r="J102" s="44"/>
    </row>
    <row r="103" spans="1:10" ht="14.25" customHeight="1">
      <c r="A103" s="44"/>
      <c r="B103" s="126" t="str">
        <f t="shared" si="0"/>
        <v>Solar cooling unit lifetime</v>
      </c>
      <c r="C103" s="246"/>
      <c r="D103" s="247"/>
      <c r="E103" s="93" t="s">
        <v>382</v>
      </c>
      <c r="F103" s="120" t="s">
        <v>383</v>
      </c>
      <c r="G103" s="127"/>
      <c r="H103" s="127"/>
      <c r="I103" s="44"/>
      <c r="J103" s="44"/>
    </row>
    <row r="104" spans="1:10" ht="14.25" customHeight="1">
      <c r="A104" s="44"/>
      <c r="B104" s="126" t="str">
        <f t="shared" si="0"/>
        <v>Costs of aditional materials (cold cell, waterchiller box, pipes, water pump)</v>
      </c>
      <c r="C104" s="246"/>
      <c r="D104" s="247"/>
      <c r="E104" s="119" t="s">
        <v>384</v>
      </c>
      <c r="F104" s="120" t="s">
        <v>385</v>
      </c>
      <c r="G104" s="127"/>
      <c r="H104" s="127"/>
      <c r="I104" s="44"/>
      <c r="J104" s="44"/>
    </row>
    <row r="105" spans="1:10" ht="14.25" customHeight="1">
      <c r="A105" s="44"/>
      <c r="B105" s="126" t="str">
        <f t="shared" si="0"/>
        <v>Maintenance costs per year</v>
      </c>
      <c r="C105" s="246"/>
      <c r="D105" s="247"/>
      <c r="E105" s="93" t="s">
        <v>386</v>
      </c>
      <c r="F105" s="120" t="s">
        <v>387</v>
      </c>
      <c r="G105" s="127"/>
      <c r="H105" s="127"/>
      <c r="I105" s="44"/>
      <c r="J105" s="44"/>
    </row>
    <row r="106" spans="1:10" ht="14.25" customHeight="1">
      <c r="A106" s="44"/>
      <c r="B106" s="126" t="str">
        <f t="shared" si="0"/>
        <v>years</v>
      </c>
      <c r="C106" s="246"/>
      <c r="D106" s="247"/>
      <c r="E106" s="93" t="s">
        <v>146</v>
      </c>
      <c r="F106" s="120" t="s">
        <v>388</v>
      </c>
      <c r="G106" s="127"/>
      <c r="H106" s="127"/>
      <c r="I106" s="44"/>
      <c r="J106" s="44"/>
    </row>
    <row r="107" spans="1:10" ht="14.25" customHeight="1">
      <c r="A107" s="44"/>
      <c r="B107" s="126" t="str">
        <f t="shared" si="0"/>
        <v>Additional income per product unit</v>
      </c>
      <c r="C107" s="246"/>
      <c r="D107" s="247"/>
      <c r="E107" s="93" t="s">
        <v>389</v>
      </c>
      <c r="F107" s="120" t="s">
        <v>390</v>
      </c>
      <c r="G107" s="127"/>
      <c r="H107" s="127"/>
      <c r="I107" s="44"/>
      <c r="J107" s="44"/>
    </row>
    <row r="108" spans="1:10" ht="14.25" customHeight="1">
      <c r="A108" s="44"/>
      <c r="B108" s="126" t="str">
        <f t="shared" si="0"/>
        <v>Additional income per month</v>
      </c>
      <c r="C108" s="246"/>
      <c r="D108" s="247"/>
      <c r="E108" s="93" t="s">
        <v>391</v>
      </c>
      <c r="F108" s="120" t="s">
        <v>392</v>
      </c>
      <c r="G108" s="127"/>
      <c r="H108" s="127"/>
      <c r="I108" s="44"/>
      <c r="J108" s="44"/>
    </row>
    <row r="109" spans="1:10" ht="14.25" customHeight="1">
      <c r="A109" s="44"/>
      <c r="B109" s="126" t="str">
        <f t="shared" si="0"/>
        <v>Discount rate</v>
      </c>
      <c r="C109" s="246"/>
      <c r="D109" s="247"/>
      <c r="E109" s="93" t="s">
        <v>393</v>
      </c>
      <c r="F109" s="120" t="s">
        <v>394</v>
      </c>
      <c r="G109" s="127"/>
      <c r="H109" s="127"/>
      <c r="I109" s="44"/>
      <c r="J109" s="44"/>
    </row>
    <row r="110" spans="1:10" ht="14.25" customHeight="1">
      <c r="A110" s="44"/>
      <c r="B110" s="126" t="str">
        <f t="shared" si="0"/>
        <v xml:space="preserve">Inflation  </v>
      </c>
      <c r="C110" s="246"/>
      <c r="D110" s="247"/>
      <c r="E110" s="93" t="s">
        <v>395</v>
      </c>
      <c r="F110" s="120" t="s">
        <v>396</v>
      </c>
      <c r="G110" s="127"/>
      <c r="H110" s="127"/>
      <c r="I110" s="44"/>
      <c r="J110" s="44"/>
    </row>
    <row r="111" spans="1:10" ht="14.25" customHeight="1">
      <c r="A111" s="44"/>
      <c r="B111" s="126" t="str">
        <f t="shared" si="0"/>
        <v>$/kg or l</v>
      </c>
      <c r="C111" s="246"/>
      <c r="D111" s="247"/>
      <c r="E111" s="93" t="str">
        <f>'2 Input'!H40&amp;"/kg or l"</f>
        <v>$/kg or l</v>
      </c>
      <c r="F111" s="120" t="str">
        <f>'2 Input'!H40&amp;"/kg ou l"</f>
        <v>$/kg ou l</v>
      </c>
      <c r="G111" s="127"/>
      <c r="H111" s="127"/>
      <c r="I111" s="44"/>
      <c r="J111" s="44"/>
    </row>
    <row r="112" spans="1:10" ht="14.25" customHeight="1">
      <c r="A112" s="44"/>
      <c r="B112" s="126" t="str">
        <f t="shared" si="0"/>
        <v>$/Wp</v>
      </c>
      <c r="C112" s="246"/>
      <c r="D112" s="247"/>
      <c r="E112" s="93" t="str">
        <f>'2 Input'!H40&amp;"/Wp"</f>
        <v>$/Wp</v>
      </c>
      <c r="F112" s="120" t="str">
        <f>'2 Input'!H40&amp;"/Wc"</f>
        <v>$/Wc</v>
      </c>
      <c r="G112" s="127"/>
      <c r="H112" s="127"/>
      <c r="I112" s="44"/>
      <c r="J112" s="44"/>
    </row>
    <row r="113" spans="1:10" ht="14.25" customHeight="1">
      <c r="A113" s="44"/>
      <c r="B113" s="126" t="str">
        <f t="shared" si="0"/>
        <v>$/month</v>
      </c>
      <c r="C113" s="248"/>
      <c r="D113" s="249"/>
      <c r="E113" s="128" t="str">
        <f>'2 Input'!H40&amp;"/month"</f>
        <v>$/month</v>
      </c>
      <c r="F113" s="125" t="str">
        <f>'2 Input'!H40&amp;"/mois"</f>
        <v>$/mois</v>
      </c>
      <c r="G113" s="128"/>
      <c r="H113" s="128"/>
      <c r="I113" s="44"/>
      <c r="J113" s="44"/>
    </row>
    <row r="114" spans="1:10" ht="14.25" customHeight="1">
      <c r="A114" s="44"/>
      <c r="B114" s="126" t="str">
        <f t="shared" si="0"/>
        <v>Cooling Curve</v>
      </c>
      <c r="C114" s="250" t="s">
        <v>397</v>
      </c>
      <c r="D114" s="205"/>
      <c r="E114" s="93" t="s">
        <v>398</v>
      </c>
      <c r="F114" s="120" t="s">
        <v>399</v>
      </c>
      <c r="G114" s="127"/>
      <c r="H114" s="127"/>
      <c r="I114" s="44"/>
      <c r="J114" s="44"/>
    </row>
    <row r="115" spans="1:10" ht="14.25" customHeight="1">
      <c r="A115" s="44"/>
      <c r="B115" s="126" t="str">
        <f t="shared" si="0"/>
        <v>Temperature in °C</v>
      </c>
      <c r="C115" s="246"/>
      <c r="D115" s="247"/>
      <c r="E115" s="93" t="s">
        <v>400</v>
      </c>
      <c r="F115" s="120" t="s">
        <v>401</v>
      </c>
      <c r="G115" s="127"/>
      <c r="H115" s="127"/>
      <c r="I115" s="44"/>
      <c r="J115" s="44"/>
    </row>
    <row r="116" spans="1:10" ht="14.25" customHeight="1">
      <c r="A116" s="44"/>
      <c r="B116" s="126" t="str">
        <f t="shared" si="0"/>
        <v>Time in h</v>
      </c>
      <c r="C116" s="246"/>
      <c r="D116" s="247"/>
      <c r="E116" s="93" t="s">
        <v>402</v>
      </c>
      <c r="F116" s="120" t="s">
        <v>403</v>
      </c>
      <c r="G116" s="127"/>
      <c r="H116" s="127"/>
      <c r="I116" s="44"/>
      <c r="J116" s="44"/>
    </row>
    <row r="117" spans="1:10" ht="14.25" customHeight="1">
      <c r="A117" s="44"/>
      <c r="B117" s="126" t="str">
        <f t="shared" si="0"/>
        <v>Temperature of the product</v>
      </c>
      <c r="C117" s="246"/>
      <c r="D117" s="247"/>
      <c r="E117" s="93" t="s">
        <v>404</v>
      </c>
      <c r="F117" s="120" t="s">
        <v>405</v>
      </c>
      <c r="G117" s="127"/>
      <c r="H117" s="127"/>
      <c r="I117" s="44"/>
      <c r="J117" s="44"/>
    </row>
    <row r="118" spans="1:10" ht="14.25" customHeight="1">
      <c r="A118" s="44"/>
      <c r="B118" s="126" t="str">
        <f t="shared" si="0"/>
        <v>Accumulated Cooling load in kWh</v>
      </c>
      <c r="C118" s="246"/>
      <c r="D118" s="247"/>
      <c r="E118" s="93" t="s">
        <v>406</v>
      </c>
      <c r="F118" s="120" t="s">
        <v>407</v>
      </c>
      <c r="G118" s="127"/>
      <c r="H118" s="127"/>
      <c r="I118" s="44"/>
      <c r="J118" s="44"/>
    </row>
    <row r="119" spans="1:10" ht="14.25" customHeight="1">
      <c r="A119" s="44"/>
      <c r="B119" s="126" t="str">
        <f t="shared" si="0"/>
        <v>Cooling load</v>
      </c>
      <c r="C119" s="246"/>
      <c r="D119" s="247"/>
      <c r="E119" s="93" t="s">
        <v>408</v>
      </c>
      <c r="F119" s="120" t="s">
        <v>409</v>
      </c>
      <c r="G119" s="127"/>
      <c r="H119" s="127"/>
      <c r="I119" s="44"/>
      <c r="J119" s="44"/>
    </row>
    <row r="120" spans="1:10" ht="14.25" customHeight="1">
      <c r="A120" s="44"/>
      <c r="B120" s="126" t="str">
        <f t="shared" si="0"/>
        <v>Thermal losses cold month in kWh</v>
      </c>
      <c r="C120" s="246"/>
      <c r="D120" s="247"/>
      <c r="E120" s="32" t="s">
        <v>410</v>
      </c>
      <c r="F120" s="120" t="s">
        <v>411</v>
      </c>
      <c r="G120" s="127"/>
      <c r="H120" s="127"/>
      <c r="I120" s="44"/>
      <c r="J120" s="44"/>
    </row>
    <row r="121" spans="1:10" ht="14.25" customHeight="1">
      <c r="A121" s="44"/>
      <c r="B121" s="126" t="str">
        <f t="shared" si="0"/>
        <v>Thermal losses hot month in kWh</v>
      </c>
      <c r="C121" s="246"/>
      <c r="D121" s="247"/>
      <c r="E121" s="32" t="s">
        <v>412</v>
      </c>
      <c r="F121" s="120" t="s">
        <v>413</v>
      </c>
      <c r="G121" s="127"/>
      <c r="H121" s="127"/>
      <c r="I121" s="44"/>
      <c r="J121" s="44"/>
    </row>
    <row r="122" spans="1:10" ht="14.25" customHeight="1">
      <c r="A122" s="44"/>
      <c r="B122" s="126" t="str">
        <f t="shared" si="0"/>
        <v>Cooling Curve &amp; Cooling Load</v>
      </c>
      <c r="C122" s="246"/>
      <c r="D122" s="247"/>
      <c r="E122" s="93" t="s">
        <v>414</v>
      </c>
      <c r="F122" s="120" t="s">
        <v>415</v>
      </c>
      <c r="G122" s="127"/>
      <c r="H122" s="127"/>
      <c r="I122" s="44"/>
      <c r="J122" s="44"/>
    </row>
    <row r="123" spans="1:10" ht="14.25" customHeight="1">
      <c r="A123" s="44"/>
      <c r="B123" s="126">
        <f t="shared" si="0"/>
        <v>0</v>
      </c>
      <c r="C123" s="248"/>
      <c r="D123" s="249"/>
      <c r="E123" s="93"/>
      <c r="F123" s="120"/>
      <c r="G123" s="127"/>
      <c r="H123" s="127"/>
      <c r="I123" s="44"/>
      <c r="J123" s="44"/>
    </row>
    <row r="124" spans="1:10" ht="15" customHeight="1">
      <c r="A124" s="44"/>
      <c r="B124" s="126" t="str">
        <f t="shared" si="0"/>
        <v>Results</v>
      </c>
      <c r="C124" s="250" t="s">
        <v>416</v>
      </c>
      <c r="D124" s="205"/>
      <c r="E124" s="91" t="s">
        <v>417</v>
      </c>
      <c r="F124" s="118" t="s">
        <v>418</v>
      </c>
      <c r="G124" s="129"/>
      <c r="H124" s="129"/>
      <c r="I124" s="44"/>
      <c r="J124" s="44"/>
    </row>
    <row r="125" spans="1:10" ht="14.25" customHeight="1">
      <c r="A125" s="44"/>
      <c r="B125" s="126" t="str">
        <f t="shared" si="0"/>
        <v>System Design (Secondary System)</v>
      </c>
      <c r="C125" s="246"/>
      <c r="D125" s="247"/>
      <c r="E125" s="93" t="s">
        <v>419</v>
      </c>
      <c r="F125" s="120" t="s">
        <v>420</v>
      </c>
      <c r="G125" s="127"/>
      <c r="H125" s="127"/>
      <c r="I125" s="44"/>
      <c r="J125" s="44"/>
    </row>
    <row r="126" spans="1:10" ht="14.25" customHeight="1">
      <c r="A126" s="44"/>
      <c r="B126" s="126" t="str">
        <f t="shared" si="0"/>
        <v>Monoblock Cooling units needed:</v>
      </c>
      <c r="C126" s="246"/>
      <c r="D126" s="247"/>
      <c r="E126" s="93" t="s">
        <v>421</v>
      </c>
      <c r="F126" s="120" t="s">
        <v>422</v>
      </c>
      <c r="G126" s="127"/>
      <c r="H126" s="127"/>
      <c r="I126" s="44"/>
      <c r="J126" s="44"/>
    </row>
    <row r="127" spans="1:10" ht="14.25" customHeight="1">
      <c r="A127" s="44"/>
      <c r="B127" s="126" t="str">
        <f t="shared" si="0"/>
        <v>Cooling units costs:</v>
      </c>
      <c r="C127" s="246"/>
      <c r="D127" s="247"/>
      <c r="E127" s="93" t="s">
        <v>423</v>
      </c>
      <c r="F127" s="120" t="s">
        <v>424</v>
      </c>
      <c r="G127" s="127"/>
      <c r="H127" s="127"/>
      <c r="I127" s="44"/>
      <c r="J127" s="44"/>
    </row>
    <row r="128" spans="1:10" ht="14.25" customHeight="1">
      <c r="A128" s="44"/>
      <c r="B128" s="126" t="str">
        <f t="shared" si="0"/>
        <v>Solar PV size:</v>
      </c>
      <c r="C128" s="246"/>
      <c r="D128" s="247"/>
      <c r="E128" s="93" t="s">
        <v>425</v>
      </c>
      <c r="F128" s="120" t="s">
        <v>426</v>
      </c>
      <c r="G128" s="127"/>
      <c r="H128" s="127"/>
      <c r="I128" s="44"/>
      <c r="J128" s="44"/>
    </row>
    <row r="129" spans="1:10" ht="14.25" customHeight="1">
      <c r="A129" s="44"/>
      <c r="B129" s="126" t="str">
        <f t="shared" si="0"/>
        <v>Solar PV costs:</v>
      </c>
      <c r="C129" s="246"/>
      <c r="D129" s="247"/>
      <c r="E129" s="93" t="s">
        <v>427</v>
      </c>
      <c r="F129" s="120" t="s">
        <v>428</v>
      </c>
      <c r="G129" s="127"/>
      <c r="H129" s="127"/>
      <c r="I129" s="44"/>
      <c r="J129" s="44"/>
    </row>
    <row r="130" spans="1:10" ht="14.25" customHeight="1">
      <c r="A130" s="44"/>
      <c r="B130" s="126" t="str">
        <f t="shared" si="0"/>
        <v>Battery size:</v>
      </c>
      <c r="C130" s="246"/>
      <c r="D130" s="247"/>
      <c r="E130" s="93" t="s">
        <v>429</v>
      </c>
      <c r="F130" s="120" t="s">
        <v>430</v>
      </c>
      <c r="G130" s="127"/>
      <c r="H130" s="127"/>
      <c r="I130" s="44"/>
      <c r="J130" s="44"/>
    </row>
    <row r="131" spans="1:10" ht="14.25" customHeight="1">
      <c r="A131" s="44"/>
      <c r="B131" s="126" t="str">
        <f t="shared" si="0"/>
        <v>Battery costs:</v>
      </c>
      <c r="C131" s="246"/>
      <c r="D131" s="247"/>
      <c r="E131" s="93" t="s">
        <v>431</v>
      </c>
      <c r="F131" s="120" t="s">
        <v>432</v>
      </c>
      <c r="G131" s="127"/>
      <c r="H131" s="127"/>
      <c r="I131" s="44"/>
      <c r="J131" s="44"/>
    </row>
    <row r="132" spans="1:10" ht="14.25" customHeight="1">
      <c r="A132" s="44"/>
      <c r="B132" s="126" t="str">
        <f t="shared" si="0"/>
        <v>Total initial investment:</v>
      </c>
      <c r="C132" s="246"/>
      <c r="D132" s="247"/>
      <c r="E132" s="93" t="s">
        <v>433</v>
      </c>
      <c r="F132" s="120" t="s">
        <v>434</v>
      </c>
      <c r="G132" s="127"/>
      <c r="H132" s="127"/>
      <c r="I132" s="44"/>
      <c r="J132" s="44"/>
    </row>
    <row r="133" spans="1:10" ht="14.25" customHeight="1">
      <c r="A133" s="44"/>
      <c r="B133" s="126" t="str">
        <f t="shared" si="0"/>
        <v>Payback period:</v>
      </c>
      <c r="C133" s="246"/>
      <c r="D133" s="247"/>
      <c r="E133" s="93" t="s">
        <v>172</v>
      </c>
      <c r="F133" s="120" t="s">
        <v>435</v>
      </c>
      <c r="G133" s="127"/>
      <c r="H133" s="127"/>
      <c r="I133" s="44"/>
      <c r="J133" s="44"/>
    </row>
    <row r="134" spans="1:10" ht="14.25" customHeight="1">
      <c r="A134" s="44"/>
      <c r="B134" s="126" t="str">
        <f t="shared" si="0"/>
        <v>Net present value:</v>
      </c>
      <c r="C134" s="246"/>
      <c r="D134" s="247"/>
      <c r="E134" s="93" t="s">
        <v>436</v>
      </c>
      <c r="F134" s="120" t="s">
        <v>437</v>
      </c>
      <c r="G134" s="127"/>
      <c r="H134" s="127"/>
      <c r="I134" s="44"/>
      <c r="J134" s="44"/>
    </row>
    <row r="135" spans="1:10" ht="14.25" customHeight="1">
      <c r="A135" s="44"/>
      <c r="B135" s="126" t="str">
        <f t="shared" si="0"/>
        <v>Internal rate of return:</v>
      </c>
      <c r="C135" s="246"/>
      <c r="D135" s="247"/>
      <c r="E135" s="93" t="s">
        <v>438</v>
      </c>
      <c r="F135" s="120" t="s">
        <v>439</v>
      </c>
      <c r="G135" s="127"/>
      <c r="H135" s="127"/>
      <c r="I135" s="44"/>
      <c r="J135" s="44"/>
    </row>
    <row r="136" spans="1:10" ht="14.25" customHeight="1">
      <c r="A136" s="44"/>
      <c r="B136" s="126" t="str">
        <f t="shared" si="0"/>
        <v>System Design</v>
      </c>
      <c r="C136" s="246"/>
      <c r="D136" s="247"/>
      <c r="E136" s="93" t="s">
        <v>440</v>
      </c>
      <c r="F136" s="120" t="s">
        <v>441</v>
      </c>
      <c r="G136" s="127"/>
      <c r="H136" s="127"/>
      <c r="I136" s="44"/>
      <c r="J136" s="44"/>
    </row>
    <row r="137" spans="1:10" ht="14.25" customHeight="1">
      <c r="A137" s="44"/>
      <c r="B137" s="126" t="str">
        <f t="shared" si="0"/>
        <v>years</v>
      </c>
      <c r="C137" s="246"/>
      <c r="D137" s="247"/>
      <c r="E137" s="93" t="s">
        <v>146</v>
      </c>
      <c r="F137" s="120" t="s">
        <v>388</v>
      </c>
      <c r="G137" s="127"/>
      <c r="H137" s="127"/>
      <c r="I137" s="44"/>
      <c r="J137" s="44"/>
    </row>
    <row r="138" spans="1:10" ht="14.25" customHeight="1">
      <c r="A138" s="44"/>
      <c r="B138" s="116" t="str">
        <f t="shared" si="0"/>
        <v>Accumulated income &amp; system costs over 20 years</v>
      </c>
      <c r="C138" s="246"/>
      <c r="D138" s="247"/>
      <c r="E138" s="119" t="s">
        <v>442</v>
      </c>
      <c r="F138" s="120" t="s">
        <v>443</v>
      </c>
      <c r="G138" s="127"/>
      <c r="H138" s="127"/>
      <c r="I138" s="44"/>
      <c r="J138" s="44"/>
    </row>
    <row r="139" spans="1:10" ht="14.25" customHeight="1">
      <c r="A139" s="44"/>
      <c r="B139" s="126" t="str">
        <f t="shared" si="0"/>
        <v>Years</v>
      </c>
      <c r="C139" s="246"/>
      <c r="D139" s="247"/>
      <c r="E139" s="93" t="s">
        <v>444</v>
      </c>
      <c r="F139" s="120" t="s">
        <v>445</v>
      </c>
      <c r="G139" s="127"/>
      <c r="H139" s="127"/>
      <c r="I139" s="44"/>
      <c r="J139" s="44"/>
    </row>
    <row r="140" spans="1:10" ht="14.25" customHeight="1">
      <c r="A140" s="44"/>
      <c r="B140" s="126" t="str">
        <f t="shared" si="0"/>
        <v>Accumulated income</v>
      </c>
      <c r="C140" s="246"/>
      <c r="D140" s="247"/>
      <c r="E140" s="93" t="s">
        <v>446</v>
      </c>
      <c r="F140" s="120" t="s">
        <v>447</v>
      </c>
      <c r="G140" s="127"/>
      <c r="H140" s="127"/>
      <c r="I140" s="44"/>
      <c r="J140" s="44"/>
    </row>
    <row r="141" spans="1:10" ht="14.25" customHeight="1">
      <c r="A141" s="44"/>
      <c r="B141" s="116" t="str">
        <f t="shared" si="0"/>
        <v>Accumulated system costs without batteries</v>
      </c>
      <c r="C141" s="246"/>
      <c r="D141" s="247"/>
      <c r="E141" s="119" t="s">
        <v>448</v>
      </c>
      <c r="F141" s="120" t="s">
        <v>449</v>
      </c>
      <c r="G141" s="127"/>
      <c r="H141" s="127"/>
      <c r="I141" s="44"/>
      <c r="J141" s="44"/>
    </row>
    <row r="142" spans="1:10" ht="14.25" customHeight="1">
      <c r="A142" s="44"/>
      <c r="B142" s="116" t="str">
        <f t="shared" si="0"/>
        <v>Accumulated system costs</v>
      </c>
      <c r="C142" s="206"/>
      <c r="D142" s="208"/>
      <c r="E142" s="124" t="s">
        <v>450</v>
      </c>
      <c r="F142" s="125" t="s">
        <v>451</v>
      </c>
      <c r="G142" s="128"/>
      <c r="H142" s="128"/>
      <c r="I142" s="44"/>
      <c r="J142" s="44"/>
    </row>
    <row r="143" spans="1:10" ht="14.2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 spans="1:10" ht="14.2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 spans="1:10" ht="14.2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4.25" customHeight="1"/>
    <row r="147" spans="1:10" ht="14.25" customHeight="1"/>
    <row r="148" spans="1:10" ht="14.25" customHeight="1"/>
    <row r="149" spans="1:10" ht="14.25" customHeight="1"/>
    <row r="150" spans="1:10" ht="14.25" customHeight="1"/>
    <row r="151" spans="1:10" ht="14.25" customHeight="1"/>
    <row r="152" spans="1:10" ht="14.25" customHeight="1"/>
    <row r="153" spans="1:10" ht="14.25" customHeight="1"/>
    <row r="154" spans="1:10" ht="14.25" customHeight="1"/>
    <row r="155" spans="1:10" ht="14.25" customHeight="1"/>
    <row r="156" spans="1:10" ht="14.25" customHeight="1"/>
    <row r="157" spans="1:10" ht="14.25" customHeight="1"/>
    <row r="158" spans="1:10" ht="14.25" customHeight="1"/>
    <row r="159" spans="1:10" ht="14.25" customHeight="1"/>
    <row r="160" spans="1:1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C6:D29"/>
    <mergeCell ref="C30:D47"/>
    <mergeCell ref="C48:D113"/>
    <mergeCell ref="C114:D123"/>
    <mergeCell ref="C124:D142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READ ME</vt:lpstr>
      <vt:lpstr>1 Geographic Data</vt:lpstr>
      <vt:lpstr>2 Input</vt:lpstr>
      <vt:lpstr>3 Cooling Curve</vt:lpstr>
      <vt:lpstr>3 Technical Design Output</vt:lpstr>
      <vt:lpstr>Calculation Sheet</vt:lpstr>
      <vt:lpstr>4 Cost</vt:lpstr>
      <vt:lpstr>5 Weather Data</vt:lpstr>
      <vt:lpstr>Translation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</dc:creator>
  <cp:lastModifiedBy>Victor Torres Toledo</cp:lastModifiedBy>
  <dcterms:created xsi:type="dcterms:W3CDTF">2019-02-21T20:08:43Z</dcterms:created>
  <dcterms:modified xsi:type="dcterms:W3CDTF">2025-04-06T17:58:57Z</dcterms:modified>
</cp:coreProperties>
</file>